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c r="D1865" i="106" s="1"/>
  <c r="B1866" i="106"/>
  <c r="D1866" i="106" s="1"/>
  <c r="F6" i="8"/>
  <c r="F7" i="8"/>
  <c r="B1868" i="106" s="1"/>
  <c r="D1868" i="106" s="1"/>
  <c r="F12" i="8"/>
  <c r="B1869" i="106" s="1"/>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c r="B5106" i="106"/>
  <c r="D5106" i="106"/>
  <c r="B5107" i="106"/>
  <c r="D5107" i="106"/>
  <c r="B5108" i="106"/>
  <c r="D5108" i="106" s="1"/>
  <c r="B5109" i="106"/>
  <c r="D5109" i="106"/>
  <c r="B5110" i="106"/>
  <c r="D5110" i="106" s="1"/>
  <c r="B5111" i="106"/>
  <c r="D5111" i="106" s="1"/>
  <c r="B5113" i="106"/>
  <c r="D5113" i="106"/>
  <c r="B5114" i="106"/>
  <c r="D5114" i="106" s="1"/>
  <c r="B5115" i="106"/>
  <c r="D5115" i="106" s="1"/>
  <c r="B5116" i="106"/>
  <c r="D5116" i="106"/>
  <c r="B5117" i="106"/>
  <c r="D5117" i="106"/>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s="1"/>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s="1"/>
  <c r="B6302" i="106"/>
  <c r="D6302" i="106" s="1"/>
  <c r="B6303" i="106"/>
  <c r="D6303" i="106" s="1"/>
  <c r="B6304" i="106"/>
  <c r="D6304" i="106" s="1"/>
  <c r="B6305" i="106"/>
  <c r="D6305" i="106"/>
  <c r="B6307" i="106"/>
  <c r="D6307" i="106"/>
  <c r="B6308" i="106"/>
  <c r="D6308" i="106" s="1"/>
  <c r="B6309" i="106"/>
  <c r="D6309" i="106" s="1"/>
  <c r="B6310" i="106"/>
  <c r="D6310" i="106"/>
  <c r="B6311" i="106"/>
  <c r="D6311" i="106"/>
  <c r="B6312" i="106"/>
  <c r="D6312" i="106" s="1"/>
  <c r="B6313" i="106"/>
  <c r="D6313" i="106" s="1"/>
  <c r="B6314" i="106"/>
  <c r="D6314" i="106"/>
  <c r="B6315" i="106"/>
  <c r="D6315" i="106"/>
  <c r="B6316" i="106"/>
  <c r="D6316" i="106" s="1"/>
  <c r="B6317" i="106"/>
  <c r="D6317" i="106"/>
  <c r="B6319" i="106"/>
  <c r="D6319" i="106"/>
  <c r="B6320" i="106"/>
  <c r="D6320" i="106" s="1"/>
  <c r="B6321" i="106"/>
  <c r="D6321" i="106" s="1"/>
  <c r="B6322" i="106"/>
  <c r="D6322" i="106"/>
  <c r="B6323" i="106"/>
  <c r="D6323" i="106"/>
  <c r="B6324" i="106"/>
  <c r="D6324" i="106" s="1"/>
  <c r="B6325" i="106"/>
  <c r="D6325" i="106" s="1"/>
  <c r="B6326" i="106"/>
  <c r="D6326" i="106"/>
  <c r="B6327" i="106"/>
  <c r="D6327" i="106"/>
  <c r="B6328" i="106"/>
  <c r="D6328" i="106" s="1"/>
  <c r="B6329" i="106"/>
  <c r="D6329" i="106" s="1"/>
  <c r="B6330" i="106"/>
  <c r="D6330" i="106"/>
  <c r="B6331" i="106"/>
  <c r="D6331" i="106"/>
  <c r="B6332" i="106"/>
  <c r="D6332" i="106" s="1"/>
  <c r="B6333" i="106"/>
  <c r="D6333" i="106" s="1"/>
  <c r="B6334" i="106"/>
  <c r="D6334" i="106"/>
  <c r="B6335" i="106"/>
  <c r="D6335" i="106"/>
  <c r="B6336" i="106"/>
  <c r="D6336" i="106" s="1"/>
  <c r="B6337" i="106"/>
  <c r="D6337" i="106" s="1"/>
  <c r="B6338" i="106"/>
  <c r="D6338" i="106"/>
  <c r="B6339" i="106"/>
  <c r="D6339" i="106"/>
  <c r="B6340" i="106"/>
  <c r="D6340" i="106" s="1"/>
  <c r="B6341" i="106"/>
  <c r="D6341" i="106"/>
  <c r="B6342" i="106"/>
  <c r="D6342" i="106" s="1"/>
  <c r="B6343" i="106"/>
  <c r="D6343" i="106" s="1"/>
  <c r="B6344" i="106"/>
  <c r="D6344" i="106"/>
  <c r="B6345" i="106"/>
  <c r="D6345" i="106"/>
  <c r="B6346" i="106"/>
  <c r="D6346" i="106" s="1"/>
  <c r="B6347" i="106"/>
  <c r="D6347" i="106" s="1"/>
  <c r="B6348" i="106"/>
  <c r="D6348" i="106"/>
  <c r="B6349" i="106"/>
  <c r="D6349" i="106"/>
  <c r="B6350" i="106"/>
  <c r="D6350" i="106" s="1"/>
  <c r="B6353" i="106"/>
  <c r="D6353" i="106" s="1"/>
  <c r="B6354" i="106"/>
  <c r="D6354" i="106"/>
  <c r="B6355" i="106"/>
  <c r="D6355" i="106"/>
  <c r="B6356" i="106"/>
  <c r="D6356" i="106" s="1"/>
  <c r="B6358" i="106"/>
  <c r="D6358" i="106" s="1"/>
  <c r="B6359" i="106"/>
  <c r="D6359" i="106" s="1"/>
  <c r="B6360" i="106"/>
  <c r="D6360" i="106" s="1"/>
  <c r="B6361" i="106"/>
  <c r="D6361" i="106" s="1"/>
  <c r="B6362" i="106"/>
  <c r="D6362" i="106"/>
  <c r="B6363" i="106"/>
  <c r="D6363" i="106"/>
  <c r="B6364" i="106"/>
  <c r="D6364" i="106" s="1"/>
  <c r="B6365" i="106"/>
  <c r="D6365" i="106" s="1"/>
  <c r="B6366" i="106"/>
  <c r="D6366" i="106"/>
  <c r="B6367" i="106"/>
  <c r="D6367" i="106"/>
  <c r="B6368" i="106"/>
  <c r="D6368" i="106" s="1"/>
  <c r="B6369" i="106"/>
  <c r="D6369" i="106" s="1"/>
  <c r="B6370" i="106"/>
  <c r="D6370" i="106"/>
  <c r="B6371" i="106"/>
  <c r="D6371" i="106"/>
  <c r="B6372" i="106"/>
  <c r="D6372" i="106" s="1"/>
  <c r="B6373" i="106"/>
  <c r="D6373" i="106" s="1"/>
  <c r="B6374" i="106"/>
  <c r="D6374" i="106"/>
  <c r="B6375" i="106"/>
  <c r="D6375" i="106"/>
  <c r="B6376" i="106"/>
  <c r="D6376" i="106" s="1"/>
  <c r="B6377" i="106"/>
  <c r="D6377" i="106" s="1"/>
  <c r="B6378" i="106"/>
  <c r="D6378" i="106"/>
  <c r="B6379" i="106"/>
  <c r="D6379" i="106"/>
  <c r="B6380" i="106"/>
  <c r="D6380" i="106" s="1"/>
  <c r="B6381" i="106"/>
  <c r="D6381" i="106" s="1"/>
  <c r="B6382" i="106"/>
  <c r="D6382" i="106"/>
  <c r="B6383" i="106"/>
  <c r="D6383" i="106"/>
  <c r="B6384" i="106"/>
  <c r="D6384" i="106" s="1"/>
  <c r="B6385" i="106"/>
  <c r="D6385" i="106" s="1"/>
  <c r="B6386" i="106"/>
  <c r="D6386" i="106"/>
  <c r="B6387" i="106"/>
  <c r="D6387" i="106"/>
  <c r="B6388" i="106"/>
  <c r="D6388" i="106" s="1"/>
  <c r="B6389" i="106"/>
  <c r="D6389" i="106" s="1"/>
  <c r="B6390" i="106"/>
  <c r="D6390" i="106"/>
  <c r="B6391" i="106"/>
  <c r="D6391" i="106"/>
  <c r="B6392" i="106"/>
  <c r="D6392" i="106" s="1"/>
  <c r="B6393" i="106"/>
  <c r="D6393" i="106" s="1"/>
  <c r="B6394" i="106"/>
  <c r="D6394" i="106"/>
  <c r="B6395" i="106"/>
  <c r="D6395" i="106"/>
  <c r="B6398" i="106"/>
  <c r="D6398" i="106" s="1"/>
  <c r="B6399" i="106"/>
  <c r="D6399" i="106" s="1"/>
  <c r="B6401" i="106"/>
  <c r="D6401" i="106"/>
  <c r="B6402" i="106"/>
  <c r="D6402" i="106"/>
  <c r="B6403" i="106"/>
  <c r="D6403" i="106" s="1"/>
  <c r="B6404" i="106"/>
  <c r="D6404" i="106" s="1"/>
  <c r="B6405" i="106"/>
  <c r="D6405" i="106"/>
  <c r="B6406" i="106"/>
  <c r="D6406" i="106"/>
  <c r="B6407" i="106"/>
  <c r="D6407" i="106" s="1"/>
  <c r="B6408" i="106"/>
  <c r="D6408" i="106" s="1"/>
  <c r="B6410" i="106"/>
  <c r="D6410" i="106"/>
  <c r="B6411" i="106"/>
  <c r="D6411" i="106"/>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c r="B6618" i="106"/>
  <c r="D6618" i="106"/>
  <c r="B6619" i="106"/>
  <c r="D6619" i="106" s="1"/>
  <c r="B6620" i="106"/>
  <c r="D6620" i="106"/>
  <c r="B6621" i="106"/>
  <c r="D6621" i="106"/>
  <c r="B6622" i="106"/>
  <c r="D6622" i="106"/>
  <c r="B6623" i="106"/>
  <c r="D6623" i="106" s="1"/>
  <c r="B6624" i="106"/>
  <c r="D6624" i="106"/>
  <c r="B6625" i="106"/>
  <c r="D6625" i="106"/>
  <c r="B6626" i="106"/>
  <c r="D6626" i="106"/>
  <c r="B6627" i="106"/>
  <c r="D6627" i="106" s="1"/>
  <c r="B6628" i="106"/>
  <c r="D6628" i="106"/>
  <c r="B6629" i="106"/>
  <c r="D6629" i="106"/>
  <c r="B6630" i="106"/>
  <c r="D6630" i="106"/>
  <c r="B6631" i="106"/>
  <c r="D6631" i="106" s="1"/>
  <c r="B6632" i="106"/>
  <c r="D6632" i="106"/>
  <c r="B6633" i="106"/>
  <c r="D6633" i="106"/>
  <c r="B6634" i="106"/>
  <c r="D6634" i="106"/>
  <c r="B6635" i="106"/>
  <c r="D6635" i="106" s="1"/>
  <c r="B6636" i="106"/>
  <c r="D6636" i="106"/>
  <c r="B6637" i="106"/>
  <c r="D6637" i="106"/>
  <c r="B6638" i="106"/>
  <c r="D6638" i="106"/>
  <c r="B6639" i="106"/>
  <c r="D6639" i="106" s="1"/>
  <c r="B6640" i="106"/>
  <c r="D6640" i="106"/>
  <c r="B6641" i="106"/>
  <c r="D6641" i="106"/>
  <c r="B6642" i="106"/>
  <c r="D6642" i="106"/>
  <c r="B6643" i="106"/>
  <c r="D6643" i="106" s="1"/>
  <c r="B6644" i="106"/>
  <c r="D6644" i="106"/>
  <c r="B6645" i="106"/>
  <c r="D6645" i="106"/>
  <c r="B6646" i="106"/>
  <c r="D6646" i="106"/>
  <c r="B6647" i="106"/>
  <c r="D6647" i="106" s="1"/>
  <c r="B6648" i="106"/>
  <c r="D6648" i="106"/>
  <c r="B6649" i="106"/>
  <c r="D6649" i="106"/>
  <c r="B6650" i="106"/>
  <c r="D6650" i="106"/>
  <c r="B6651" i="106"/>
  <c r="D6651" i="106" s="1"/>
  <c r="B6652" i="106"/>
  <c r="D6652" i="106"/>
  <c r="B6653" i="106"/>
  <c r="D6653" i="106"/>
  <c r="B6654" i="106"/>
  <c r="D6654" i="106"/>
  <c r="B6655" i="106"/>
  <c r="D6655" i="106" s="1"/>
  <c r="B6656" i="106"/>
  <c r="D6656" i="106"/>
  <c r="B6657" i="106"/>
  <c r="D6657" i="106"/>
  <c r="B6658" i="106"/>
  <c r="D6658" i="106"/>
  <c r="B6659" i="106"/>
  <c r="D6659" i="106" s="1"/>
  <c r="B6660" i="106"/>
  <c r="D6660" i="106"/>
  <c r="B6661" i="106"/>
  <c r="D6661" i="106"/>
  <c r="B6662" i="106"/>
  <c r="D6662" i="106"/>
  <c r="B6663" i="106"/>
  <c r="D6663" i="106" s="1"/>
  <c r="B6664" i="106"/>
  <c r="D6664" i="106"/>
  <c r="B6665" i="106"/>
  <c r="D6665" i="106"/>
  <c r="B6666" i="106"/>
  <c r="D6666" i="106"/>
  <c r="B6667" i="106"/>
  <c r="D6667" i="106" s="1"/>
  <c r="B6668" i="106"/>
  <c r="D6668" i="106"/>
  <c r="B6669" i="106"/>
  <c r="D6669" i="106"/>
  <c r="B6670" i="106"/>
  <c r="D6670" i="106"/>
  <c r="B6671" i="106"/>
  <c r="D6671" i="106" s="1"/>
  <c r="B6672" i="106"/>
  <c r="D6672" i="106"/>
  <c r="B6673" i="106"/>
  <c r="D6673" i="106"/>
  <c r="B6674" i="106"/>
  <c r="D6674" i="106"/>
  <c r="B6675" i="106"/>
  <c r="D6675" i="106" s="1"/>
  <c r="B6676" i="106"/>
  <c r="D6676" i="106"/>
  <c r="B6677" i="106"/>
  <c r="D6677" i="106"/>
  <c r="B6678" i="106"/>
  <c r="D6678" i="106"/>
  <c r="B6679" i="106"/>
  <c r="D6679" i="106" s="1"/>
  <c r="B6680" i="106"/>
  <c r="D6680" i="106"/>
  <c r="B6681" i="106"/>
  <c r="D6681" i="106"/>
  <c r="B6682" i="106"/>
  <c r="D6682" i="106"/>
  <c r="B6683" i="106"/>
  <c r="D6683" i="106" s="1"/>
  <c r="B6684" i="106"/>
  <c r="D6684" i="106"/>
  <c r="B6685" i="106"/>
  <c r="D6685" i="106"/>
  <c r="B6686" i="106"/>
  <c r="D6686" i="106"/>
  <c r="B6687" i="106"/>
  <c r="D6687" i="106" s="1"/>
  <c r="B6688" i="106"/>
  <c r="D6688" i="106"/>
  <c r="B6689" i="106"/>
  <c r="D6689" i="106"/>
  <c r="B6690" i="106"/>
  <c r="D6690" i="106"/>
  <c r="B6691" i="106"/>
  <c r="D6691" i="106" s="1"/>
  <c r="B6692" i="106"/>
  <c r="D6692" i="106"/>
  <c r="B6693" i="106"/>
  <c r="D6693" i="106"/>
  <c r="B6694" i="106"/>
  <c r="D6694" i="106"/>
  <c r="B6695" i="106"/>
  <c r="D6695" i="106" s="1"/>
  <c r="B6696" i="106"/>
  <c r="D6696" i="106"/>
  <c r="B6697" i="106"/>
  <c r="D6697" i="106"/>
  <c r="B6698" i="106"/>
  <c r="D6698" i="106"/>
  <c r="B6699" i="106"/>
  <c r="D6699" i="106" s="1"/>
  <c r="B6700" i="106"/>
  <c r="D6700" i="106"/>
  <c r="B6701" i="106"/>
  <c r="D6701" i="106"/>
  <c r="B6702" i="106"/>
  <c r="D6702" i="106"/>
  <c r="B6703" i="106"/>
  <c r="D6703" i="106" s="1"/>
  <c r="B6704" i="106"/>
  <c r="D6704" i="106"/>
  <c r="B6705" i="106"/>
  <c r="D6705" i="106"/>
  <c r="B6706" i="106"/>
  <c r="D6706" i="106"/>
  <c r="B6707" i="106"/>
  <c r="D6707" i="106" s="1"/>
  <c r="B6708" i="106"/>
  <c r="D6708" i="106"/>
  <c r="B6709" i="106"/>
  <c r="D6709" i="106"/>
  <c r="B6710" i="106"/>
  <c r="D6710" i="106"/>
  <c r="B6711" i="106"/>
  <c r="D6711" i="106" s="1"/>
  <c r="B6712" i="106"/>
  <c r="D6712" i="106"/>
  <c r="B6713" i="106"/>
  <c r="D6713" i="106"/>
  <c r="B6714" i="106"/>
  <c r="D6714" i="106"/>
  <c r="B6715" i="106"/>
  <c r="D6715" i="106" s="1"/>
  <c r="B6716" i="106"/>
  <c r="D6716" i="106"/>
  <c r="B6717" i="106"/>
  <c r="D6717" i="106"/>
  <c r="B6718" i="106"/>
  <c r="D6718" i="106"/>
  <c r="B6719" i="106"/>
  <c r="D6719" i="106" s="1"/>
  <c r="B6720" i="106"/>
  <c r="D6720" i="106"/>
  <c r="B6721" i="106"/>
  <c r="D6721" i="106"/>
  <c r="B6722" i="106"/>
  <c r="D6722" i="106"/>
  <c r="B6723" i="106"/>
  <c r="D6723" i="106" s="1"/>
  <c r="B6724" i="106"/>
  <c r="D6724" i="106"/>
  <c r="B6725" i="106"/>
  <c r="D6725" i="106"/>
  <c r="B6726" i="106"/>
  <c r="D6726" i="106"/>
  <c r="B6727" i="106"/>
  <c r="D6727" i="106" s="1"/>
  <c r="B6728" i="106"/>
  <c r="D6728" i="106" s="1"/>
  <c r="B6729" i="106"/>
  <c r="D6729" i="106" s="1"/>
  <c r="B6730" i="106"/>
  <c r="D6730" i="106" s="1"/>
  <c r="B6731" i="106"/>
  <c r="D6731" i="106"/>
  <c r="B6732" i="106"/>
  <c r="D6732" i="106" s="1"/>
  <c r="B6733" i="106"/>
  <c r="D6733" i="106" s="1"/>
  <c r="B6734" i="106"/>
  <c r="D6734" i="106" s="1"/>
  <c r="B6735" i="106"/>
  <c r="D6735" i="106"/>
  <c r="B6736" i="106"/>
  <c r="D6736" i="106" s="1"/>
  <c r="B6737" i="106"/>
  <c r="D6737" i="106" s="1"/>
  <c r="B6738" i="106"/>
  <c r="D6738" i="106" s="1"/>
  <c r="B6739" i="106"/>
  <c r="D6739" i="106"/>
  <c r="B6740" i="106"/>
  <c r="D6740" i="106" s="1"/>
  <c r="B6741" i="106"/>
  <c r="D6741" i="106" s="1"/>
  <c r="B6742" i="106"/>
  <c r="D6742" i="106" s="1"/>
  <c r="B6743" i="106"/>
  <c r="D6743" i="106"/>
  <c r="B6744" i="106"/>
  <c r="D6744" i="106" s="1"/>
  <c r="B6745" i="106"/>
  <c r="D6745" i="106" s="1"/>
  <c r="B6746" i="106"/>
  <c r="D6746" i="106" s="1"/>
  <c r="B6747" i="106"/>
  <c r="D6747" i="106"/>
  <c r="B6748" i="106"/>
  <c r="D6748" i="106" s="1"/>
  <c r="B6749" i="106"/>
  <c r="D6749" i="106" s="1"/>
  <c r="B6750" i="106"/>
  <c r="D6750" i="106" s="1"/>
  <c r="B6751" i="106"/>
  <c r="D6751" i="106"/>
  <c r="B6752" i="106"/>
  <c r="D6752" i="106" s="1"/>
  <c r="B6753" i="106"/>
  <c r="D6753" i="106" s="1"/>
  <c r="B6754" i="106"/>
  <c r="D6754" i="106" s="1"/>
  <c r="B6755" i="106"/>
  <c r="D6755" i="106"/>
  <c r="B6756" i="106"/>
  <c r="D6756" i="106" s="1"/>
  <c r="B6757" i="106"/>
  <c r="D6757" i="106" s="1"/>
  <c r="B6758" i="106"/>
  <c r="D6758" i="106" s="1"/>
  <c r="B6759" i="106"/>
  <c r="D6759" i="106"/>
  <c r="B6760" i="106"/>
  <c r="D6760" i="106" s="1"/>
  <c r="B6761" i="106"/>
  <c r="D6761" i="106" s="1"/>
  <c r="B6762" i="106"/>
  <c r="D6762" i="106" s="1"/>
  <c r="B6763" i="106"/>
  <c r="D6763" i="106"/>
  <c r="B6764" i="106"/>
  <c r="D6764" i="106" s="1"/>
  <c r="B6765" i="106"/>
  <c r="D6765" i="106" s="1"/>
  <c r="B6766" i="106"/>
  <c r="D6766" i="106" s="1"/>
  <c r="B6767" i="106"/>
  <c r="D6767" i="106"/>
  <c r="B6768" i="106"/>
  <c r="D6768" i="106" s="1"/>
  <c r="B6769" i="106"/>
  <c r="D6769" i="106" s="1"/>
  <c r="B6770" i="106"/>
  <c r="D6770" i="106" s="1"/>
  <c r="B6771" i="106"/>
  <c r="D6771" i="106"/>
  <c r="B6772" i="106"/>
  <c r="D6772" i="106" s="1"/>
  <c r="B6773" i="106"/>
  <c r="D6773" i="106" s="1"/>
  <c r="B6774" i="106"/>
  <c r="D6774" i="106" s="1"/>
  <c r="B6775" i="106"/>
  <c r="D6775" i="106"/>
  <c r="B6776" i="106"/>
  <c r="D6776" i="106" s="1"/>
  <c r="B6777" i="106"/>
  <c r="D6777" i="106" s="1"/>
  <c r="B6778" i="106"/>
  <c r="D6778" i="106" s="1"/>
  <c r="B6779" i="106"/>
  <c r="D6779" i="106"/>
  <c r="B6780" i="106"/>
  <c r="D6780" i="106" s="1"/>
  <c r="B6781" i="106"/>
  <c r="D6781" i="106" s="1"/>
  <c r="B6782" i="106"/>
  <c r="D6782" i="106" s="1"/>
  <c r="B6783" i="106"/>
  <c r="D6783" i="106"/>
  <c r="B6784" i="106"/>
  <c r="D6784" i="106" s="1"/>
  <c r="B6785" i="106"/>
  <c r="D6785" i="106" s="1"/>
  <c r="B6786" i="106"/>
  <c r="D6786" i="106" s="1"/>
  <c r="B6787" i="106"/>
  <c r="D6787" i="106"/>
  <c r="B6788" i="106"/>
  <c r="D6788" i="106" s="1"/>
  <c r="B6789" i="106"/>
  <c r="D6789" i="106" s="1"/>
  <c r="B6790" i="106"/>
  <c r="D6790" i="106" s="1"/>
  <c r="B6791" i="106"/>
  <c r="D6791" i="106"/>
  <c r="B6792" i="106"/>
  <c r="D6792" i="106" s="1"/>
  <c r="B6793" i="106"/>
  <c r="D6793" i="106" s="1"/>
  <c r="B6794" i="106"/>
  <c r="D6794" i="106" s="1"/>
  <c r="B6795" i="106"/>
  <c r="D6795" i="106"/>
  <c r="B6796" i="106"/>
  <c r="D6796" i="106" s="1"/>
  <c r="B6797" i="106"/>
  <c r="D6797" i="106" s="1"/>
  <c r="B6798" i="106"/>
  <c r="D6798" i="106" s="1"/>
  <c r="B6799" i="106"/>
  <c r="D6799" i="106"/>
  <c r="B6800" i="106"/>
  <c r="D6800" i="106" s="1"/>
  <c r="B6801" i="106"/>
  <c r="D6801" i="106" s="1"/>
  <c r="B6802" i="106"/>
  <c r="D6802" i="106" s="1"/>
  <c r="B6803" i="106"/>
  <c r="D6803" i="106"/>
  <c r="B6804" i="106"/>
  <c r="D6804" i="106" s="1"/>
  <c r="B6805" i="106"/>
  <c r="D6805" i="106" s="1"/>
  <c r="B6806" i="106"/>
  <c r="D6806" i="106" s="1"/>
  <c r="B6807" i="106"/>
  <c r="D6807" i="106"/>
  <c r="B6808" i="106"/>
  <c r="D6808" i="106" s="1"/>
  <c r="B6809" i="106"/>
  <c r="D6809" i="106" s="1"/>
  <c r="B6810" i="106"/>
  <c r="D6810" i="106" s="1"/>
  <c r="B6811" i="106"/>
  <c r="D6811" i="106"/>
  <c r="B6812" i="106"/>
  <c r="D6812" i="106" s="1"/>
  <c r="B6813" i="106"/>
  <c r="D6813" i="106" s="1"/>
  <c r="B6814" i="106"/>
  <c r="D6814" i="106" s="1"/>
  <c r="B6815" i="106"/>
  <c r="D6815" i="106"/>
  <c r="B6816" i="106"/>
  <c r="D6816" i="106" s="1"/>
  <c r="B6817" i="106"/>
  <c r="D6817" i="106" s="1"/>
  <c r="B6818" i="106"/>
  <c r="D6818" i="106" s="1"/>
  <c r="B6819" i="106"/>
  <c r="D6819" i="106"/>
  <c r="B6820" i="106"/>
  <c r="D6820" i="106" s="1"/>
  <c r="B6821" i="106"/>
  <c r="D6821" i="106" s="1"/>
  <c r="B6822" i="106"/>
  <c r="D6822" i="106" s="1"/>
  <c r="B6823" i="106"/>
  <c r="D6823" i="106"/>
  <c r="B6824" i="106"/>
  <c r="D6824" i="106" s="1"/>
  <c r="B6825" i="106"/>
  <c r="D6825" i="106" s="1"/>
  <c r="B6826" i="106"/>
  <c r="D6826" i="106" s="1"/>
  <c r="B6827" i="106"/>
  <c r="D6827" i="106"/>
  <c r="B6828" i="106"/>
  <c r="D6828" i="106" s="1"/>
  <c r="B6829" i="106"/>
  <c r="D6829" i="106" s="1"/>
  <c r="B6830" i="106"/>
  <c r="D6830" i="106" s="1"/>
  <c r="B6831" i="106"/>
  <c r="D6831" i="106"/>
  <c r="B6832" i="106"/>
  <c r="D6832" i="106" s="1"/>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c r="B7044" i="106"/>
  <c r="D7044" i="106"/>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78" i="127"/>
  <c r="B79" i="127"/>
  <c r="D26" i="108"/>
  <c r="E26" i="108"/>
  <c r="F26" i="108"/>
  <c r="G26" i="108"/>
  <c r="E27" i="108"/>
  <c r="G27" i="108"/>
  <c r="E28" i="108"/>
  <c r="F28" i="108"/>
  <c r="F31" i="108"/>
  <c r="F36" i="108"/>
  <c r="F37" i="108"/>
  <c r="G28" i="108"/>
  <c r="E29" i="108"/>
  <c r="G29"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7" i="29" s="1"/>
  <c r="L362" i="29"/>
  <c r="L365" i="29" s="1"/>
  <c r="C12" i="5"/>
  <c r="B5066" i="106" s="1"/>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G172"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c r="D4951" i="106" s="1"/>
  <c r="C184" i="5"/>
  <c r="B5232" i="106"/>
  <c r="D5232" i="106" s="1"/>
  <c r="D184" i="5"/>
  <c r="B5425" i="106" s="1"/>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F131" i="34" s="1"/>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0" i="34"/>
  <c r="F128" i="34"/>
  <c r="F127" i="34"/>
  <c r="F111" i="34"/>
  <c r="B5847" i="106"/>
  <c r="D5847" i="106" s="1"/>
  <c r="B5752" i="106"/>
  <c r="D5752" i="106" s="1"/>
  <c r="B5599" i="106"/>
  <c r="D5599" i="106" s="1"/>
  <c r="H173" i="5"/>
  <c r="B5906" i="106" s="1"/>
  <c r="D5906" i="106" s="1"/>
  <c r="H109" i="5"/>
  <c r="B6025" i="106" s="1"/>
  <c r="D6025" i="106" s="1"/>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K352" i="29" l="1"/>
  <c r="K13" i="4" s="1"/>
  <c r="B3572" i="106" s="1"/>
  <c r="D3572" i="106" s="1"/>
  <c r="F106" i="34"/>
  <c r="G173" i="5"/>
  <c r="B5778" i="106" s="1"/>
  <c r="D5778" i="106" s="1"/>
  <c r="E109" i="5"/>
  <c r="E4" i="4" s="1"/>
  <c r="B2630" i="106" s="1"/>
  <c r="D2630" i="106" s="1"/>
  <c r="C352" i="29"/>
  <c r="G210" i="29"/>
  <c r="E174" i="29"/>
  <c r="B1309" i="106" s="1"/>
  <c r="D1309" i="106" s="1"/>
  <c r="D5" i="4"/>
  <c r="B3406" i="106" s="1"/>
  <c r="D3406" i="106" s="1"/>
  <c r="J129" i="29"/>
  <c r="B7038" i="106" s="1"/>
  <c r="D7038" i="106" s="1"/>
  <c r="H365" i="29"/>
  <c r="K76" i="4"/>
  <c r="B3586" i="106" s="1"/>
  <c r="D3586" i="106" s="1"/>
  <c r="G15" i="145"/>
  <c r="K274" i="5"/>
  <c r="I274" i="5"/>
  <c r="B7235" i="106"/>
  <c r="D7235" i="106" s="1"/>
  <c r="I129" i="29"/>
  <c r="B7037" i="106" s="1"/>
  <c r="D7037" i="106" s="1"/>
  <c r="B3649" i="106"/>
  <c r="D3649" i="106" s="1"/>
  <c r="G367" i="29"/>
  <c r="F136" i="34"/>
  <c r="B7041" i="106"/>
  <c r="D7041" i="106" s="1"/>
  <c r="K173" i="5"/>
  <c r="K6" i="4" s="1"/>
  <c r="B3570" i="106" s="1"/>
  <c r="D3570" i="106" s="1"/>
  <c r="D6103" i="106"/>
  <c r="F21" i="8"/>
  <c r="K41" i="3"/>
  <c r="C129" i="29"/>
  <c r="D68" i="36"/>
  <c r="L342" i="29"/>
  <c r="L13" i="11"/>
  <c r="B2060" i="106" s="1"/>
  <c r="D2060" i="106" s="1"/>
  <c r="B5096" i="106"/>
  <c r="D5096" i="106" s="1"/>
  <c r="G35" i="108"/>
  <c r="E35" i="108"/>
  <c r="F27" i="108"/>
  <c r="F41" i="108" s="1"/>
  <c r="G43" i="108" s="1"/>
  <c r="C342" i="29"/>
  <c r="B7216" i="106" s="1"/>
  <c r="D7216" i="106" s="1"/>
  <c r="H4" i="4"/>
  <c r="B2655" i="106" s="1"/>
  <c r="D2655" i="106" s="1"/>
  <c r="B1410" i="106"/>
  <c r="D1410" i="106" s="1"/>
  <c r="G109" i="5"/>
  <c r="B6024" i="106" s="1"/>
  <c r="D6024" i="106" s="1"/>
  <c r="B1329" i="106"/>
  <c r="D1329" i="106" s="1"/>
  <c r="F61" i="34"/>
  <c r="D109" i="5"/>
  <c r="B5356" i="106" s="1"/>
  <c r="D5356" i="106" s="1"/>
  <c r="C172" i="5"/>
  <c r="C109" i="5"/>
  <c r="B5121" i="106" s="1"/>
  <c r="D5121" i="106" s="1"/>
  <c r="D31" i="36"/>
  <c r="D11" i="37"/>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B7270" i="106"/>
  <c r="B1879" i="106" l="1"/>
  <c r="D1879" i="106" s="1"/>
  <c r="H22" i="37"/>
  <c r="B1365" i="106"/>
  <c r="D1365" i="106" s="1"/>
  <c r="F65" i="34"/>
  <c r="B3568" i="106"/>
  <c r="D3568" i="106" s="1"/>
  <c r="D52" i="36"/>
  <c r="B3621" i="106"/>
  <c r="D3621" i="106" s="1"/>
  <c r="C367" i="29"/>
  <c r="B3622" i="106" s="1"/>
  <c r="D3622" i="106" s="1"/>
  <c r="D274" i="5"/>
  <c r="H151" i="29"/>
  <c r="B1273" i="106" s="1"/>
  <c r="D1273" i="106" s="1"/>
  <c r="I151" i="29"/>
  <c r="F59" i="34" s="1"/>
  <c r="H367" i="29"/>
  <c r="B3660" i="106" s="1"/>
  <c r="D3660" i="106" s="1"/>
  <c r="B7242" i="106"/>
  <c r="D7242" i="106" s="1"/>
  <c r="L114" i="29"/>
  <c r="L16" i="11"/>
  <c r="B2061" i="106" s="1"/>
  <c r="D2061" i="106" s="1"/>
  <c r="C114" i="29"/>
  <c r="B757" i="106" s="1"/>
  <c r="D757" i="106" s="1"/>
  <c r="K342" i="29"/>
  <c r="F13" i="34" s="1"/>
  <c r="H8" i="4"/>
  <c r="B2658" i="106" s="1"/>
  <c r="D2658" i="106" s="1"/>
  <c r="G4" i="4"/>
  <c r="B2603" i="106" s="1"/>
  <c r="D2603" i="106" s="1"/>
  <c r="D19" i="7"/>
  <c r="B1775" i="106" s="1"/>
  <c r="D1775" i="106" s="1"/>
  <c r="F275" i="5"/>
  <c r="B5720" i="106" s="1"/>
  <c r="D5720" i="106" s="1"/>
  <c r="B5653" i="106"/>
  <c r="D5653" i="106" s="1"/>
  <c r="B1317" i="106"/>
  <c r="D1317" i="106" s="1"/>
  <c r="D4" i="4"/>
  <c r="B2564" i="106" s="1"/>
  <c r="D2564" i="106" s="1"/>
  <c r="B5214" i="106"/>
  <c r="D5214" i="106" s="1"/>
  <c r="C173" i="5"/>
  <c r="C4" i="4"/>
  <c r="B2551" i="106" s="1"/>
  <c r="D2551" i="106" s="1"/>
  <c r="D44"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J8" i="4" l="1"/>
  <c r="B1145" i="106"/>
  <c r="D1145" i="106" s="1"/>
  <c r="J17" i="4"/>
  <c r="J19" i="4" s="1"/>
  <c r="B6229" i="106" s="1"/>
  <c r="D6229" i="106" s="1"/>
  <c r="H10" i="4"/>
  <c r="B4127" i="106" s="1"/>
  <c r="D4127" i="106" s="1"/>
  <c r="G41" i="108"/>
  <c r="G44" i="108" s="1"/>
  <c r="G45" i="108" s="1"/>
  <c r="E41" i="108"/>
  <c r="E44" i="108" s="1"/>
  <c r="E45" i="108" s="1"/>
  <c r="F8" i="4"/>
  <c r="D8" i="14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J20" i="4" l="1"/>
  <c r="J78" i="4" s="1"/>
  <c r="B6227" i="106"/>
  <c r="D6227" i="106" s="1"/>
  <c r="F10" i="4"/>
  <c r="B4125" i="106" s="1"/>
  <c r="D4125" i="106" s="1"/>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B6230" i="106" l="1"/>
  <c r="D6230"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<sst xmlns="http://schemas.openxmlformats.org/spreadsheetml/2006/main" count="5080" uniqueCount="2141">
  <si>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</si>
  <si>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</si>
  <si>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</si>
  <si>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</si>
  <si>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</si>
  <si>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</si>
  <si>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</si>
  <si>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</si>
  <si>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</si>
  <si>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</si>
  <si>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</si>
  <si>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</si>
  <si>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</si>
  <si>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</si>
  <si>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</si>
  <si>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</si>
  <si>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</si>
  <si>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</si>
  <si>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</si>
  <si>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</si>
  <si>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</si>
  <si>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</si>
  <si>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</si>
  <si>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</si>
  <si>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</si>
  <si>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</si>
  <si>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</si>
  <si>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</si>
  <si>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</si>
  <si>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</si>
  <si>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</si>
  <si>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</si>
  <si>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</si>
  <si>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</si>
  <si>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</si>
  <si>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</si>
  <si>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</si>
  <si>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</si>
  <si>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</si>
  <si>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</si>
  <si>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</si>
  <si>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</si>
  <si>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</si>
  <si>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</si>
  <si>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</si>
  <si>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</si>
  <si>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</si>
  <si>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</si>
  <si>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</si>
  <si>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</si>
  <si>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</si>
  <si>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</si>
  <si>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</si>
  <si>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</si>
  <si>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</si>
  <si>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</si>
  <si>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</si>
  <si>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</si>
  <si>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</si>
  <si>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</si>
  <si>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</si>
  <si>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</si>
  <si>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</si>
  <si>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</si>
  <si>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</si>
  <si>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</si>
  <si>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</si>
  <si>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</si>
  <si>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</si>
  <si>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</si>
  <si>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</si>
  <si>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</si>
  <si>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</si>
  <si>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</si>
  <si>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</si>
  <si>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</si>
  <si>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</si>
  <si>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</si>
  <si>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</si>
  <si>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</si>
  <si>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</si>
  <si>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</si>
  <si>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</si>
  <si>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</si>
  <si>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</si>
  <si>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</si>
  <si>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</si>
  <si>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</si>
  <si>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</si>
  <si>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</si>
  <si>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</si>
  <si>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</si>
  <si>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</si>
  <si>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</si>
  <si>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</si>
  <si>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</si>
  <si>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</si>
  <si>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</si>
  <si>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</si>
  <si>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</si>
  <si>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</si>
  <si>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</si>
  <si>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</si>
  <si>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</si>
  <si>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</si>
  <si>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</si>
  <si>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</si>
  <si>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</si>
  <si>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</si>
  <si>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</si>
  <si>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</si>
  <si>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</si>
  <si>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</si>
  <si>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</si>
  <si>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</si>
  <si>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</si>
  <si>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</si>
  <si>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</si>
  <si>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</si>
  <si>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</si>
  <si>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</si>
  <si>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</si>
  <si>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</si>
  <si>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</si>
  <si>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</si>
  <si>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</si>
  <si>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</si>
  <si>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</si>
  <si>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</si>
  <si>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</si>
  <si>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</si>
  <si>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</si>
  <si>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</si>
  <si>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</si>
  <si>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</si>
  <si>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</si>
  <si>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</si>
  <si>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</si>
  <si>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</si>
  <si>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</si>
  <si>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</si>
  <si>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</si>
  <si>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</si>
  <si>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</si>
  <si>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</si>
  <si>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</si>
  <si>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</si>
  <si>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</si>
  <si>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</si>
  <si>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</si>
  <si>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</si>
  <si>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</si>
  <si>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</si>
  <si>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</si>
  <si>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</si>
  <si>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</si>
  <si>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</si>
  <si>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</si>
  <si>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</si>
  <si>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</si>
  <si>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</si>
  <si>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</si>
  <si>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</si>
  <si>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</si>
  <si>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</si>
  <si>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</si>
  <si>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</si>
  <si>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</si>
  <si>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</si>
  <si>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</si>
  <si>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</si>
  <si>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</si>
  <si>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</si>
  <si>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</si>
  <si>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</si>
  <si>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</si>
  <si>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</si>
  <si>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</si>
  <si>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</si>
  <si>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</si>
  <si>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</si>
  <si>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</si>
  <si>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</si>
  <si>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</si>
  <si>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</si>
  <si>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</si>
  <si>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</si>
  <si>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</si>
  <si>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</si>
  <si>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</si>
  <si>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</si>
  <si>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</si>
  <si>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</si>
  <si>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</si>
  <si>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</si>
  <si>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</si>
  <si>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</si>
  <si>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</si>
  <si>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</si>
  <si>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</si>
  <si>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</si>
  <si>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</si>
  <si>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</si>
  <si>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</si>
  <si>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</si>
  <si>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</si>
  <si>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</si>
  <si>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</si>
  <si>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</si>
  <si>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</si>
  <si>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</si>
  <si>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</si>
  <si>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</si>
  <si>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</si>
  <si>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</si>
  <si>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</si>
  <si>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</si>
  <si>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</si>
  <si>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</si>
  <si>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</si>
  <si>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</si>
  <si>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</si>
  <si>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</si>
  <si>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</si>
  <si>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</si>
  <si>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</si>
  <si>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</si>
  <si>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</si>
  <si>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</si>
  <si>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</si>
  <si>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</si>
  <si>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</si>
  <si>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</si>
  <si>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</si>
  <si>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</si>
  <si>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</si>
  <si>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</si>
  <si>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</si>
  <si>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</si>
  <si>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</si>
  <si>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</si>
  <si>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</si>
  <si>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</si>
  <si>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</si>
  <si>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</si>
  <si>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</si>
  <si>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</si>
  <si>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</si>
  <si>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</si>
  <si>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</si>
  <si>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</si>
  <si>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</si>
  <si>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</si>
  <si>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</si>
  <si>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</si>
  <si>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</si>
  <si>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</si>
  <si>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</si>
  <si>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</si>
  <si>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</si>
  <si>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</si>
  <si>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</si>
  <si>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</si>
  <si>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</si>
  <si>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</si>
  <si>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</si>
  <si>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</si>
  <si>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</si>
  <si>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</si>
  <si>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</si>
  <si>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</si>
  <si>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</si>
  <si>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</si>
  <si>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</si>
  <si>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</si>
  <si>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</si>
  <si>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</si>
  <si>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</si>
  <si>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</si>
  <si>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</si>
  <si>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</si>
  <si>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</si>
  <si>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</si>
  <si>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</si>
  <si>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</si>
  <si>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</si>
  <si>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</si>
  <si>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</si>
  <si>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</si>
  <si>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</si>
  <si>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</si>
  <si>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</si>
  <si>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</si>
  <si>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</si>
  <si>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</si>
  <si>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</si>
  <si>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</si>
  <si>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</si>
  <si>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</si>
  <si>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</si>
  <si>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</si>
  <si>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</si>
  <si>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</si>
  <si>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</si>
  <si>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</si>
  <si>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</si>
  <si>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</si>
  <si>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</si>
  <si>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</si>
  <si>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</si>
  <si>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</si>
  <si>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</si>
  <si>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</si>
  <si>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</si>
  <si>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</si>
  <si>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</si>
  <si>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</si>
  <si>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</si>
  <si>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</si>
  <si>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</si>
  <si>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</si>
  <si>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</si>
  <si>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</si>
  <si>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</si>
  <si>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</si>
  <si>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</si>
  <si>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</si>
  <si>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</si>
  <si>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</si>
  <si>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</si>
  <si>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</si>
  <si>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</si>
  <si>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</si>
  <si>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</si>
  <si>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</si>
  <si>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</si>
  <si>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</si>
  <si>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</si>
  <si>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</si>
  <si>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</si>
  <si>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</si>
  <si>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</si>
  <si>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</si>
  <si>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</si>
  <si>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</si>
  <si>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</si>
  <si>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</si>
  <si>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</si>
  <si>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</si>
  <si>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</si>
  <si>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</si>
  <si>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</si>
  <si>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</si>
  <si>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</si>
  <si>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</si>
  <si>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</si>
  <si>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</si>
  <si>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</si>
  <si>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</si>
  <si>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</si>
  <si>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</si>
  <si>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</si>
  <si>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</si>
  <si>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</si>
  <si>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</si>
  <si>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</si>
  <si>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</si>
  <si>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</si>
  <si>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</si>
  <si>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</si>
  <si>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</si>
  <si>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</si>
  <si>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</si>
  <si>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</si>
  <si>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</si>
  <si>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</si>
  <si>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</si>
  <si>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</si>
  <si>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</si>
  <si>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</si>
  <si>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</si>
  <si>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</si>
  <si>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</si>
  <si>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</si>
  <si>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</si>
  <si>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</si>
  <si>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</si>
  <si>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</si>
  <si>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</si>
  <si>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</si>
  <si>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</si>
  <si>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</si>
  <si>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</si>
  <si>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</si>
  <si>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</si>
  <si>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</si>
  <si>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</si>
  <si>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</si>
  <si>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</si>
  <si>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</si>
  <si>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</si>
  <si>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</si>
  <si>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</si>
  <si>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</si>
  <si>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</si>
  <si>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</si>
  <si>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</si>
  <si>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</si>
  <si>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</si>
  <si>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</si>
  <si>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</si>
  <si>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</si>
  <si>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</si>
  <si>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</si>
  <si>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</si>
  <si>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</si>
  <si>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</si>
  <si>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</si>
  <si>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</si>
  <si>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</si>
  <si>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</si>
  <si>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</si>
  <si>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</si>
  <si>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</si>
  <si>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</si>
  <si>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</si>
  <si>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</si>
  <si>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</si>
  <si>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</si>
  <si>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</si>
  <si>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</si>
  <si>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</si>
  <si>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</si>
  <si>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</si>
  <si>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</si>
  <si>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</si>
  <si>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</si>
  <si>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</si>
  <si>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</si>
  <si>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</si>
  <si>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</si>
  <si>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</si>
  <si>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</si>
  <si>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</si>
  <si>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</si>
  <si>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</si>
  <si>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</si>
  <si>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</si>
  <si>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</si>
  <si>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</si>
  <si>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</si>
  <si>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</si>
  <si>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</si>
  <si>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</si>
  <si>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</si>
  <si>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</si>
  <si>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</si>
  <si>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</si>
  <si>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</si>
  <si>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</si>
  <si>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</si>
  <si>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</si>
  <si>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</si>
  <si>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</si>
  <si>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</si>
  <si>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</si>
  <si>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</si>
  <si>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</si>
  <si>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</si>
  <si>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</si>
  <si>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</si>
  <si>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</si>
  <si>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</si>
  <si>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</si>
  <si>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</si>
  <si>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</si>
  <si>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</si>
  <si>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</si>
  <si>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</si>
  <si>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</si>
  <si>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</si>
  <si>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</si>
  <si>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</si>
  <si>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</si>
  <si>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</si>
  <si>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</si>
  <si>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</si>
  <si>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</si>
  <si>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</si>
  <si>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</si>
  <si>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</si>
  <si>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</si>
  <si>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</si>
  <si>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</si>
  <si>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</si>
  <si>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</si>
  <si>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</si>
  <si>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</si>
  <si>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</si>
  <si>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</si>
  <si>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</si>
  <si>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</si>
  <si>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</si>
  <si>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</si>
  <si>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</si>
  <si>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</si>
  <si>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</si>
  <si>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</si>
  <si>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</si>
  <si>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</si>
  <si>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</si>
  <si>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</si>
  <si>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</si>
  <si>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</si>
  <si>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</si>
  <si>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</si>
  <si>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</si>
  <si>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</si>
  <si>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</si>
  <si>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</si>
  <si>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</si>
  <si>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</si>
  <si>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</si>
  <si>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</si>
  <si>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</si>
  <si>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</si>
  <si>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</si>
  <si>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</si>
  <si>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</si>
  <si>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</si>
  <si>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</si>
  <si>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</si>
  <si>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</si>
  <si>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</si>
  <si>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</si>
  <si>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</si>
  <si>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</si>
  <si>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</si>
  <si>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</si>
  <si>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</si>
  <si>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</si>
  <si>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</si>
  <si>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</si>
  <si>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</si>
  <si>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</si>
  <si>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</si>
  <si>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</si>
  <si>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</si>
  <si>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</si>
  <si>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</si>
  <si>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</si>
  <si>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</si>
  <si>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</si>
  <si>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</si>
  <si>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</si>
  <si>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</si>
  <si>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</si>
  <si>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</si>
  <si>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</si>
  <si>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</si>
  <si>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</si>
  <si>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</si>
  <si>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</si>
  <si>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</si>
  <si>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</si>
  <si>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</si>
  <si>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</si>
  <si>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</si>
  <si>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</si>
  <si>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</si>
  <si>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</si>
  <si>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</si>
  <si>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</si>
  <si>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</si>
  <si>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</si>
  <si>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</si>
  <si>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</si>
  <si>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</si>
  <si>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</si>
  <si>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</si>
  <si>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</si>
  <si>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</si>
  <si>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</si>
  <si>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</si>
  <si>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</si>
  <si>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</si>
  <si>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</si>
  <si>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</si>
  <si>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</si>
  <si>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</si>
  <si>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</si>
  <si>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</si>
  <si>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</si>
  <si>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</si>
  <si>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</si>
  <si>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</si>
  <si>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</si>
  <si>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</si>
  <si>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</si>
  <si>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</si>
  <si>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</si>
  <si>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</si>
  <si>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</si>
  <si>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</si>
  <si>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</si>
  <si>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</si>
  <si>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</si>
  <si>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</si>
  <si>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</si>
  <si>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</si>
  <si>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</si>
  <si>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</si>
  <si>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</si>
  <si>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</si>
  <si>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</si>
  <si>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</si>
  <si>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</si>
  <si>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</si>
  <si>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</si>
  <si>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</si>
  <si>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</si>
  <si>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</si>
  <si>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</si>
  <si>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</si>
  <si>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</si>
  <si>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</si>
  <si>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</si>
  <si>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</si>
  <si>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</si>
  <si>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</si>
  <si>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</si>
  <si>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</si>
  <si>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</si>
  <si>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</si>
  <si>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</si>
  <si>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</si>
  <si>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</si>
  <si>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</si>
  <si>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</si>
  <si>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</si>
  <si>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</si>
  <si>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</si>
  <si>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</si>
  <si>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</si>
  <si>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</si>
  <si>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</si>
  <si>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</si>
  <si>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</si>
  <si>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</si>
  <si>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</si>
  <si>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</si>
  <si>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</si>
  <si>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</si>
  <si>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</si>
  <si>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</si>
  <si>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</si>
  <si>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</si>
  <si>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</si>
  <si>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</si>
  <si>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</si>
  <si>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</si>
  <si>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</si>
  <si>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</si>
  <si>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</si>
  <si>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</si>
  <si>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</si>
  <si>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</si>
  <si>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</si>
  <si>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</si>
  <si>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</si>
  <si>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</si>
  <si>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</si>
  <si>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</si>
  <si>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</si>
  <si>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</si>
  <si>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</si>
  <si>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</si>
  <si>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</si>
  <si>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</si>
  <si>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</si>
  <si>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</si>
  <si>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</si>
  <si>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</si>
  <si>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</si>
  <si>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</si>
  <si>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</si>
  <si>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</si>
  <si>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</si>
  <si>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</si>
  <si>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</si>
  <si>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</si>
  <si>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</si>
  <si>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</si>
  <si>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</si>
  <si>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</si>
  <si>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</si>
  <si>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</si>
  <si>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</si>
  <si>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</si>
  <si>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</si>
  <si>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</si>
  <si>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</si>
  <si>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</si>
  <si>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</si>
  <si>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</si>
  <si>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</si>
  <si>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</si>
  <si>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</si>
  <si>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</si>
  <si>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</si>
  <si>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</si>
  <si>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</si>
  <si>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</si>
  <si>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</si>
  <si>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</si>
  <si>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</si>
  <si>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</si>
  <si>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</si>
  <si>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</si>
  <si>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</si>
  <si>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</si>
  <si>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</si>
  <si>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</si>
  <si>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</si>
  <si>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</si>
  <si>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</si>
  <si>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</si>
  <si>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</si>
  <si>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</si>
  <si>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</si>
  <si>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</si>
  <si>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</si>
  <si>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</si>
  <si>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</si>
  <si>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</si>
  <si>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</si>
  <si>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</si>
  <si>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</si>
  <si>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</si>
  <si>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</si>
  <si>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</si>
  <si>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</si>
  <si>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</si>
  <si>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</si>
  <si>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</si>
  <si>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</si>
  <si>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</si>
  <si>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</si>
  <si>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</si>
  <si>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</si>
  <si>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</si>
  <si>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</si>
  <si>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</si>
  <si>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</si>
  <si>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</si>
  <si>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</si>
  <si>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</si>
  <si>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</si>
  <si>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</si>
  <si>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</si>
  <si>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</si>
  <si>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</si>
  <si>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</si>
  <si>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</si>
  <si>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</si>
  <si>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</si>
  <si>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</si>
  <si>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</si>
  <si>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</si>
  <si>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</si>
  <si>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</si>
  <si>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</si>
  <si>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</si>
  <si>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</si>
  <si>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</si>
  <si>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</si>
  <si>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</si>
  <si>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</si>
  <si>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</si>
  <si>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</si>
  <si>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</si>
  <si>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</si>
  <si>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</si>
  <si>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</si>
  <si>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</si>
  <si>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</si>
  <si>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</si>
  <si>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</si>
  <si>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</si>
  <si>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</si>
  <si>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</si>
  <si>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</si>
  <si>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</si>
  <si>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</si>
  <si>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</si>
  <si>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</si>
  <si>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</si>
  <si>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</si>
  <si>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</si>
  <si>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</si>
  <si>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</si>
  <si>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</si>
  <si>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</si>
  <si>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</si>
  <si>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</si>
  <si>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</si>
  <si>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</si>
  <si>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</si>
  <si>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</si>
  <si>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</si>
  <si>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</si>
  <si>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</si>
  <si>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</si>
  <si>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</si>
  <si>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</si>
  <si>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</si>
  <si>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</si>
  <si>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</si>
  <si>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</si>
  <si>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</si>
  <si>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</si>
  <si>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</si>
  <si>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</si>
  <si>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</si>
  <si>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</si>
  <si>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</si>
  <si>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</si>
  <si>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</si>
  <si>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</si>
  <si>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</si>
  <si>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</si>
  <si>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</si>
  <si>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</si>
  <si>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</si>
  <si>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</si>
  <si>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</si>
  <si>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</si>
  <si>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</si>
  <si>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</si>
  <si>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</si>
  <si>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</si>
  <si>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</si>
  <si>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</si>
  <si>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</si>
  <si>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</si>
  <si>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</si>
  <si>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</si>
  <si>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</si>
  <si>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</si>
  <si>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</si>
  <si>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</si>
  <si>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</si>
  <si>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</si>
  <si>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</si>
  <si>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</si>
  <si>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</si>
  <si>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</si>
  <si>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</si>
  <si>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</si>
  <si>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</si>
  <si>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</si>
  <si>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</si>
  <si>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</si>
  <si>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</si>
  <si>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</si>
  <si>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</si>
  <si>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</si>
  <si>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</si>
  <si>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</si>
  <si>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</si>
  <si>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</si>
  <si>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</si>
  <si>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</si>
  <si>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</si>
  <si>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</si>
  <si>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</si>
  <si>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</si>
  <si>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</si>
  <si>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</si>
  <si>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</si>
  <si>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</si>
  <si>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</si>
  <si>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</si>
  <si>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</si>
  <si>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</si>
  <si>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</si>
  <si>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</si>
  <si>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</si>
  <si>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</si>
  <si>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</si>
  <si>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</si>
  <si>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</si>
  <si>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</si>
  <si>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</si>
  <si>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</si>
  <si>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</si>
  <si>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</si>
  <si>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</si>
  <si>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</si>
  <si>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</si>
  <si>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</si>
  <si>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</si>
  <si>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</si>
  <si>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</si>
  <si>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</si>
  <si>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</si>
  <si>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</si>
  <si>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</si>
  <si>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</si>
  <si>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</si>
  <si>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</si>
  <si>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</si>
  <si>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</si>
  <si>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</si>
  <si>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</si>
  <si>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</si>
  <si>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</si>
  <si>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</si>
  <si>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</si>
  <si>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</si>
  <si>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</si>
  <si>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</si>
  <si>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</si>
  <si>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</si>
  <si>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</si>
  <si>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</si>
  <si>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</si>
  <si>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</si>
  <si>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</si>
  <si>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</si>
  <si>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</si>
  <si>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</si>
  <si>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</si>
  <si>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</si>
  <si>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</si>
  <si>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</si>
  <si>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</si>
  <si>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</si>
  <si>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</si>
  <si>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</si>
  <si>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</si>
  <si>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</si>
  <si>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</si>
  <si>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</si>
  <si>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</si>
  <si>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</si>
  <si>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</si>
  <si>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</si>
  <si>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</si>
  <si>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</si>
  <si>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</si>
  <si>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</si>
  <si>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</si>
  <si>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</si>
  <si>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</si>
  <si>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</si>
  <si>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</si>
  <si>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</si>
  <si>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</si>
  <si>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</si>
  <si>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</si>
  <si>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</si>
  <si>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</si>
  <si>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</si>
  <si>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</si>
  <si>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</si>
  <si>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</si>
  <si>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</si>
  <si>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</si>
  <si>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</si>
  <si>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</si>
  <si>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</si>
  <si>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</si>
  <si>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</si>
  <si>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</si>
  <si>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</si>
  <si>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</si>
  <si>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</si>
  <si>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</si>
  <si>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</si>
  <si>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</si>
  <si>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</si>
  <si>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</si>
  <si>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</si>
  <si>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</si>
  <si>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</si>
  <si>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</si>
  <si>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</si>
  <si>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</si>
  <si>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</si>
  <si>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</si>
  <si>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</si>
  <si>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</si>
  <si>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</si>
  <si>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</si>
  <si>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</si>
  <si>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</si>
  <si>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</si>
  <si>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</si>
  <si>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</si>
  <si>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</si>
  <si>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</si>
  <si>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</si>
  <si>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</si>
  <si>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</si>
  <si>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</si>
  <si>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</si>
  <si>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</si>
  <si>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</si>
  <si>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</si>
  <si>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</si>
  <si>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</si>
  <si>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</si>
  <si>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</si>
  <si>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</si>
  <si>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</si>
  <si>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</si>
  <si>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</si>
  <si>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</si>
  <si>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</si>
  <si>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</si>
  <si>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</si>
  <si>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</si>
  <si>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</si>
  <si>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</si>
  <si>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</si>
  <si>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</si>
  <si>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</si>
  <si>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</si>
  <si>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</si>
  <si>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</si>
  <si>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</si>
  <si>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</si>
  <si>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</si>
  <si>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</si>
  <si>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</si>
  <si>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</si>
  <si>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</si>
  <si>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</si>
  <si>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</si>
  <si>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</si>
  <si>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</si>
  <si>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</si>
  <si>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</si>
  <si>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</si>
  <si>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</si>
  <si>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</si>
  <si>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</si>
  <si>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</si>
  <si>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</si>
  <si>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</si>
  <si>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</si>
  <si>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</si>
  <si>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</si>
  <si>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</si>
  <si>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</si>
  <si>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</si>
  <si>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</si>
  <si>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</si>
  <si>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</si>
  <si>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</si>
  <si>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</si>
  <si>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</si>
  <si>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</si>
  <si>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</si>
  <si>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</si>
  <si>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</si>
  <si>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</si>
  <si>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</si>
  <si>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</si>
  <si>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</si>
  <si>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</si>
  <si>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</si>
  <si>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</si>
  <si>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</si>
  <si>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</si>
  <si>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</si>
  <si>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</si>
  <si>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</si>
  <si>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</si>
  <si>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</si>
  <si>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</si>
  <si>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</si>
  <si>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</si>
  <si>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</si>
  <si>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</si>
  <si>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</si>
  <si>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</si>
  <si>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</si>
  <si>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</si>
  <si>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</si>
  <si>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</si>
  <si>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</si>
  <si>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</si>
  <si>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</si>
  <si>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</si>
  <si>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</si>
  <si>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</si>
  <si>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</si>
  <si>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</si>
  <si>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</si>
  <si>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</si>
  <si>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</si>
  <si>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</si>
  <si>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</si>
  <si>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</si>
  <si>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</si>
  <si>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</si>
  <si>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</si>
  <si>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</si>
  <si>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</si>
  <si>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</si>
  <si>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</si>
  <si>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</si>
  <si>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</si>
  <si>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</si>
  <si>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</si>
  <si>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</si>
  <si>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</si>
  <si>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</si>
  <si>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</si>
  <si>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</si>
  <si>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</si>
  <si>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</si>
  <si>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</si>
  <si>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</si>
  <si>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</si>
  <si>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</si>
  <si>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</si>
  <si>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</si>
  <si>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</si>
  <si>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</si>
  <si>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</si>
  <si>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</si>
  <si>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</si>
  <si>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</si>
  <si>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</si>
  <si>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</si>
  <si>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</si>
  <si>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</si>
  <si>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</si>
  <si>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</si>
  <si>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</si>
  <si>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</si>
  <si>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</si>
  <si>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</si>
  <si>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</si>
  <si>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</si>
  <si>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</si>
  <si>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</si>
  <si>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</si>
  <si>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</si>
  <si>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</si>
  <si>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</si>
  <si>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</si>
  <si>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</si>
  <si>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</si>
  <si>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</si>
  <si>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</si>
  <si>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</si>
  <si>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</si>
  <si>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</si>
  <si>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</si>
  <si>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</si>
  <si>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</si>
  <si>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</si>
  <si>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</si>
  <si>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</si>
  <si>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</si>
  <si>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</si>
  <si>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</si>
  <si>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</si>
  <si>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</si>
  <si>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</si>
  <si>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</si>
  <si>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</si>
  <si>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</si>
  <si>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</si>
  <si>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</si>
  <si>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</si>
  <si>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</si>
  <si>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</si>
  <si>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</si>
  <si>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</si>
  <si>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</si>
  <si>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</si>
  <si>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</si>
  <si>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</si>
  <si>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</si>
  <si>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</si>
  <si>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</si>
  <si>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</si>
  <si>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</si>
  <si>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</si>
  <si>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</si>
  <si>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</si>
  <si>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</si>
  <si>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</si>
  <si>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</si>
  <si>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</si>
  <si>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</si>
  <si>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</si>
  <si>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</si>
  <si>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</si>
  <si>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</si>
  <si>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</si>
  <si>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</si>
  <si>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</si>
  <si>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</si>
  <si>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</si>
  <si>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</si>
  <si>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</si>
  <si>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</si>
  <si>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</si>
  <si>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</si>
  <si>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</si>
  <si>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</si>
  <si>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</si>
  <si>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</si>
  <si>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</si>
  <si>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</si>
  <si>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</si>
  <si>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</si>
  <si>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</si>
  <si>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</si>
  <si>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</si>
  <si>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</si>
  <si>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</si>
  <si>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</si>
  <si>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</si>
  <si>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</si>
  <si>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</si>
  <si>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</si>
  <si>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</si>
  <si>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</si>
  <si>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</si>
  <si>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</si>
  <si>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</si>
  <si>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</si>
  <si>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</si>
  <si>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</si>
  <si>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</si>
  <si>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</si>
  <si>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</si>
  <si>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</si>
  <si>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</si>
  <si>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</si>
  <si>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</si>
  <si>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</si>
  <si>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</si>
  <si>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</si>
  <si>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</si>
  <si>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</si>
  <si>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</si>
  <si>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</si>
  <si>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</si>
  <si>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</si>
  <si>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</si>
  <si>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</si>
  <si>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</si>
  <si>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</si>
  <si>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</si>
  <si>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</si>
  <si>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</si>
  <si>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</si>
  <si>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</si>
  <si>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</si>
  <si>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</si>
  <si>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</si>
  <si>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</si>
  <si>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</si>
  <si>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</si>
  <si>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</si>
  <si>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</si>
  <si>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</si>
  <si>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</si>
  <si>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</si>
  <si>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</si>
  <si>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</si>
  <si>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</si>
  <si>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</si>
  <si>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</si>
  <si>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</si>
  <si>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</si>
  <si>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</si>
  <si>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</si>
  <si>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</si>
  <si>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</si>
  <si>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</si>
  <si>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</si>
  <si>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</si>
  <si>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</si>
  <si>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</si>
  <si>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</si>
  <si>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</si>
  <si>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</si>
  <si>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</si>
  <si>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</si>
  <si>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</si>
  <si>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</si>
  <si>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</si>
  <si>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</si>
  <si>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</si>
  <si>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</si>
  <si>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</si>
  <si>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</si>
  <si>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</si>
  <si>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</si>
  <si>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</si>
  <si>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</si>
  <si>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</si>
  <si>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</si>
  <si>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</si>
  <si>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</si>
  <si>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</si>
  <si>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</si>
  <si>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</si>
  <si>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</si>
  <si>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</si>
  <si>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</si>
  <si>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</si>
  <si>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</si>
  <si>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</si>
  <si>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</si>
  <si>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</si>
  <si>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</si>
  <si>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</si>
  <si>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</si>
  <si>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</si>
  <si>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</si>
  <si>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</si>
  <si>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</si>
  <si>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</si>
  <si>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</si>
  <si>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</si>
  <si>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</si>
  <si>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</si>
  <si>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</si>
  <si>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</si>
  <si>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</si>
  <si>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</si>
  <si>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</si>
  <si>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</si>
  <si>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</si>
  <si>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</si>
  <si>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</si>
  <si>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</si>
  <si>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</si>
  <si>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</si>
  <si>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</si>
  <si>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</si>
  <si>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</si>
  <si>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</si>
  <si>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</si>
  <si>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</si>
  <si>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</si>
  <si>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</si>
  <si>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</si>
  <si>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</si>
  <si>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</si>
  <si>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</si>
  <si>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</si>
  <si>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</si>
  <si>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</si>
  <si>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</si>
  <si>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</si>
  <si>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</si>
  <si>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</si>
  <si>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</si>
  <si>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</si>
  <si>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</si>
  <si>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</si>
  <si>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</si>
  <si>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</si>
  <si>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</si>
  <si>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</si>
  <si>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</si>
  <si>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</si>
  <si>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</si>
  <si>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</si>
  <si>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</si>
  <si>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</si>
  <si>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</si>
  <si>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</si>
  <si>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</si>
  <si>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</si>
  <si>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</si>
  <si>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</si>
  <si>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</si>
  <si>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</si>
  <si>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</si>
  <si>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</si>
  <si>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</si>
  <si>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</si>
  <si>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</si>
  <si>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</si>
  <si>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</si>
  <si>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</si>
  <si>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</si>
  <si>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</si>
  <si>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</si>
  <si>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</si>
  <si>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</si>
  <si>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</si>
  <si>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</si>
  <si>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</si>
  <si>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</si>
  <si>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</si>
  <si>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</si>
  <si>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</si>
  <si>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</si>
  <si>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</si>
  <si>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</si>
  <si>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</si>
  <si>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</si>
  <si>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</si>
  <si>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</si>
  <si>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</si>
  <si>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</si>
  <si>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</si>
  <si>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</si>
  <si>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</si>
  <si>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</si>
  <si>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</si>
  <si>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</si>
  <si>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</si>
  <si>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</si>
  <si>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</si>
  <si>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</si>
  <si>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</si>
  <si>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</si>
  <si>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</si>
  <si>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</si>
  <si>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</si>
  <si>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</si>
  <si>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</si>
  <si>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</si>
  <si>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</si>
  <si>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</si>
  <si>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</si>
  <si>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</si>
  <si>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</si>
  <si>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</si>
  <si>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</si>
  <si>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</si>
  <si>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</si>
  <si>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</si>
  <si>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</si>
  <si>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</si>
  <si>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</si>
  <si>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</si>
  <si>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</si>
  <si>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</si>
  <si>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</si>
  <si>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</si>
  <si>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</si>
  <si>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</si>
  <si>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</si>
  <si>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</si>
  <si>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</si>
  <si>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</si>
  <si>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</si>
  <si>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</si>
  <si>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</si>
  <si>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</si>
  <si>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</si>
  <si>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</si>
  <si>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</si>
  <si>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</si>
  <si>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</si>
  <si>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</si>
  <si>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</si>
  <si>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</si>
  <si>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</si>
  <si>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</si>
  <si>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</si>
  <si>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</si>
  <si>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</si>
  <si>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</si>
  <si>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</si>
  <si>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</si>
  <si>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</si>
  <si>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</si>
  <si>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</si>
  <si>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</si>
  <si>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</si>
  <si>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</si>
  <si>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</si>
  <si>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</si>
  <si>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</si>
  <si>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</si>
  <si>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</si>
  <si>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</si>
  <si>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</si>
  <si>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</si>
  <si>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</si>
  <si>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</si>
  <si>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</si>
  <si>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</si>
  <si>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</si>
  <si>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</si>
  <si>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</si>
  <si>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</si>
  <si>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</si>
  <si>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</si>
  <si>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</si>
  <si>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</si>
  <si>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</si>
  <si>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</si>
  <si>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</si>
  <si>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</si>
  <si>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</si>
  <si>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</si>
  <si>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</si>
  <si>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</si>
  <si>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</si>
  <si>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</si>
  <si>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</si>
  <si>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</si>
  <si>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</si>
  <si>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</si>
  <si>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</si>
  <si>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</si>
  <si>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</si>
  <si>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</si>
  <si>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</si>
  <si>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</si>
  <si>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</si>
  <si>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</si>
  <si>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</si>
  <si>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</si>
  <si>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</si>
  <si>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</si>
  <si>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</si>
  <si>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</si>
  <si>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</si>
  <si>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</si>
  <si>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</si>
  <si>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</si>
  <si>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</si>
  <si>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</si>
  <si>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</si>
  <si>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</si>
  <si>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</si>
  <si>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</si>
  <si>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</si>
  <si>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</si>
  <si>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</si>
  <si>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</si>
  <si>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</si>
  <si>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</si>
  <si>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</si>
  <si>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</si>
  <si>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</si>
  <si>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</si>
  <si>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</si>
  <si>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</si>
  <si>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</si>
  <si>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</si>
  <si>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</si>
  <si>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</si>
  <si>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</si>
  <si>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</si>
  <si>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</si>
  <si>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</si>
  <si>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</si>
  <si>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</si>
  <si>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</si>
  <si>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</si>
  <si>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</si>
  <si>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</si>
  <si>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</si>
  <si>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</si>
  <si>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</si>
  <si>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</si>
  <si>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</si>
  <si>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</si>
  <si>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</si>
  <si>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</si>
  <si>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</si>
  <si>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</si>
  <si>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</si>
  <si>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</si>
  <si>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</si>
  <si>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</si>
  <si>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</si>
  <si>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</si>
  <si>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</si>
  <si>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</si>
  <si>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</si>
  <si>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</si>
  <si>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</si>
  <si>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</si>
  <si>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</si>
  <si>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</si>
  <si>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</si>
  <si>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</si>
  <si>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</si>
  <si>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</si>
  <si>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</si>
  <si>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</si>
  <si>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</si>
  <si>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</si>
  <si>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</si>
  <si>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</si>
  <si>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</si>
  <si>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</si>
  <si>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</si>
  <si>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</si>
  <si>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</si>
  <si>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</si>
  <si>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</si>
  <si>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</si>
  <si>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</si>
  <si>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</si>
  <si>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</si>
  <si>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</si>
  <si>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</si>
  <si>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</si>
  <si>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</si>
  <si>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</si>
  <si>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</si>
  <si>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</si>
  <si>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</si>
  <si>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</si>
  <si>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</si>
  <si>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</si>
  <si>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</si>
  <si>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</si>
  <si>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</si>
  <si>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</si>
  <si>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</si>
  <si>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</si>
  <si>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</si>
  <si>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</si>
  <si>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</si>
  <si>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</si>
  <si>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</si>
  <si>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</si>
  <si>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</si>
  <si>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</si>
  <si>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</si>
  <si>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</si>
  <si>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</si>
  <si>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</si>
  <si>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</si>
  <si>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</si>
  <si>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</si>
  <si>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</si>
  <si>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</si>
  <si>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</si>
  <si>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</si>
  <si>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</si>
  <si>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</si>
  <si>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</si>
  <si>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</si>
  <si>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</si>
  <si>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</si>
  <si>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</si>
  <si>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</si>
  <si>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</si>
  <si>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</si>
  <si>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</si>
  <si>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</si>
  <si>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</si>
  <si>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</si>
  <si>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</si>
  <si>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</si>
  <si>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</si>
  <si>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</si>
  <si>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</si>
  <si>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</si>
  <si>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</si>
  <si>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</si>
  <si>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</si>
  <si>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</si>
  <si>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</si>
  <si>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</si>
  <si>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</si>
  <si>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</si>
  <si>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</si>
  <si>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</si>
  <si>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</si>
  <si>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</si>
  <si>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</si>
  <si>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</si>
  <si>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</si>
  <si>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</si>
  <si>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</si>
  <si>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</si>
  <si>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</si>
  <si>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</si>
  <si>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</si>
  <si>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</si>
  <si>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</si>
  <si>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</si>
  <si>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</si>
  <si>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</si>
  <si>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</si>
  <si>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</si>
  <si>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</si>
  <si>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</si>
  <si>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</si>
  <si>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</si>
  <si>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</si>
  <si>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</si>
  <si>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</si>
  <si>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</si>
  <si>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</si>
  <si>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</si>
  <si>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</si>
  <si>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</si>
  <si>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</si>
  <si>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</si>
  <si>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</si>
  <si>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</si>
  <si>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</si>
  <si>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</si>
  <si>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</si>
  <si>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</si>
  <si>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</si>
  <si>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</si>
  <si>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</si>
  <si>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</si>
  <si>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</si>
  <si>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</si>
  <si>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</si>
  <si>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</si>
  <si>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</si>
  <si>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</si>
  <si>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</si>
  <si>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</si>
  <si>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</si>
  <si>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</si>
  <si>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</si>
  <si>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</si>
  <si>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</si>
  <si>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</si>
  <si>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</si>
  <si>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</si>
  <si>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</si>
  <si>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</si>
  <si>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</si>
  <si>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</si>
  <si>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</si>
  <si>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</si>
  <si>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</si>
  <si>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</si>
  <si>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</si>
  <si>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</si>
  <si>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</si>
  <si>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</si>
  <si>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</si>
  <si>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</si>
  <si>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</si>
  <si>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</si>
  <si>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</si>
  <si>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</si>
  <si>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</si>
  <si>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</si>
  <si>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</si>
  <si>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</si>
  <si>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</si>
  <si>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</si>
  <si>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</si>
  <si>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</si>
  <si>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</si>
  <si>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</si>
  <si>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</si>
  <si>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</si>
  <si>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</si>
  <si>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</si>
  <si>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</si>
  <si>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</si>
  <si>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</si>
  <si>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</si>
  <si>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</si>
  <si>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</si>
  <si>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</si>
  <si>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</si>
  <si>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</si>
  <si>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</si>
  <si>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</si>
  <si>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</si>
  <si>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</si>
  <si>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</si>
  <si>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</si>
  <si>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</si>
  <si>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</si>
  <si>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</si>
  <si>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</si>
  <si>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</si>
  <si>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</si>
  <si>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</si>
  <si>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</si>
  <si>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</si>
  <si>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</si>
  <si>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</si>
  <si>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</si>
  <si>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</si>
  <si>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</si>
  <si>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</si>
  <si>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</si>
  <si>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</si>
  <si>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</si>
  <si>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</si>
  <si>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</si>
  <si>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</si>
  <si>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</si>
  <si>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</si>
  <si>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</si>
  <si>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</si>
  <si>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</si>
  <si>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</si>
  <si>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</si>
  <si>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</si>
  <si>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</si>
  <si>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</si>
  <si>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</si>
  <si>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</si>
  <si>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</si>
  <si>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</si>
  <si>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</si>
  <si>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</si>
  <si>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</si>
  <si>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</si>
  <si>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</si>
  <si>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</si>
  <si>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</si>
  <si>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</si>
  <si>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</si>
  <si>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</si>
  <si>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</si>
  <si>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</si>
  <si>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</si>
  <si>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</si>
  <si>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</si>
  <si>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</si>
  <si>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</si>
  <si>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</si>
  <si>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</si>
  <si>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</si>
  <si>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</si>
  <si>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</si>
  <si>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</si>
  <si>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</si>
  <si>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</si>
  <si>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</si>
  <si>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</si>
  <si>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</si>
  <si>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</si>
  <si>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</si>
  <si>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</si>
  <si>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</si>
  <si>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</si>
  <si>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</si>
  <si>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</si>
  <si>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</si>
  <si>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</si>
  <si>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</si>
  <si>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</si>
  <si>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</si>
  <si>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</si>
  <si>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</si>
  <si>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</si>
  <si>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</si>
  <si>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</si>
  <si>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</si>
  <si>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</si>
  <si>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</si>
  <si>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</si>
  <si>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</si>
  <si>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</si>
  <si>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</si>
  <si>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</si>
  <si>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</si>
  <si>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</si>
  <si>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</si>
  <si>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</si>
  <si>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</si>
  <si>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</si>
  <si>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</si>
  <si>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</si>
  <si>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</si>
  <si>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</si>
  <si>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</si>
  <si>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</si>
  <si>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</si>
  <si>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</si>
  <si>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</si>
  <si>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</si>
  <si>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</si>
  <si>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</si>
  <si>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</si>
  <si>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</si>
  <si>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</si>
  <si>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</si>
  <si>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</si>
  <si>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</si>
  <si>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</si>
  <si>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</si>
  <si>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</si>
  <si>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</si>
  <si>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</si>
  <si>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</si>
  <si>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</si>
  <si>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</si>
  <si>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</si>
  <si>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</si>
  <si>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</si>
  <si>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</si>
  <si>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</si>
  <si>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</si>
  <si>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</si>
  <si>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</si>
  <si>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</si>
  <si>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</si>
  <si>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</si>
  <si>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</si>
  <si>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</si>
  <si>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</si>
  <si>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</si>
  <si>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</si>
  <si>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</si>
  <si>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</si>
  <si>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</si>
  <si>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</si>
  <si>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</si>
  <si>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</si>
  <si>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</si>
  <si>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</si>
  <si>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</si>
  <si>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</si>
  <si>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</si>
  <si>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</si>
  <si>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</si>
  <si>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</si>
  <si>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</si>
  <si>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</si>
  <si>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</si>
  <si>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</si>
  <si>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</si>
  <si>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</si>
  <si>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</si>
  <si>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</si>
  <si>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</si>
  <si>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</si>
  <si>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</si>
  <si>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</si>
  <si>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</si>
  <si>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</si>
  <si>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</si>
  <si>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</si>
  <si>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</si>
  <si>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</si>
  <si>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</si>
  <si>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</si>
  <si>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</si>
  <si>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</si>
  <si>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</si>
  <si>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</si>
  <si>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</si>
  <si>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</si>
  <si>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</si>
  <si>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</si>
  <si>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</si>
  <si>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</si>
  <si>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</si>
  <si>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</si>
  <si>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</si>
  <si>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</si>
  <si>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</si>
  <si>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</si>
  <si>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</si>
  <si>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</si>
  <si>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</si>
  <si>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</si>
  <si>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</si>
  <si>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</si>
  <si>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</si>
  <si>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</si>
  <si>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</si>
  <si>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</si>
  <si>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</si>
  <si>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</si>
  <si>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</si>
  <si>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</si>
  <si>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</si>
  <si>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</si>
  <si>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</si>
  <si>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</si>
  <si>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</si>
  <si>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</si>
  <si>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</si>
  <si>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</si>
  <si>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</si>
  <si>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</si>
  <si>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</si>
  <si>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</si>
  <si>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</si>
  <si>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</si>
  <si>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</si>
  <si>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</si>
  <si>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</si>
  <si>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</si>
  <si>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</si>
  <si>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</si>
  <si>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</si>
  <si>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</si>
  <si>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</si>
  <si>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</si>
  <si>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</si>
  <si>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</si>
  <si>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</si>
  <si>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</si>
  <si>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</si>
  <si>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</si>
  <si>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</si>
  <si>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</si>
  <si>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</si>
  <si>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</si>
  <si>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</si>
  <si>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</si>
  <si>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</si>
  <si>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</si>
  <si>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</si>
  <si>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</si>
  <si>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</si>
  <si>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</si>
  <si>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</si>
  <si>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</si>
  <si>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</si>
  <si>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</si>
  <si>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</si>
  <si>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</si>
  <si>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</si>
  <si>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</si>
  <si>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</si>
  <si>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</si>
  <si>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</si>
  <si>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</si>
  <si>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</si>
  <si>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</si>
  <si>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</si>
  <si>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</si>
  <si>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</si>
  <si>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</si>
  <si>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</si>
  <si>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</si>
  <si>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</si>
  <si>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</si>
  <si>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</si>
  <si>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</si>
  <si>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</si>
  <si>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</si>
  <si>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</si>
  <si>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</si>
  <si>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</si>
  <si>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</si>
  <si>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</si>
  <si>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</si>
  <si>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</si>
  <si>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</si>
  <si>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</si>
  <si>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</si>
  <si>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</si>
  <si>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</si>
  <si>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</si>
  <si>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</si>
  <si>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</si>
  <si>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</si>
  <si>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</si>
  <si>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</si>
  <si>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</si>
  <si>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</si>
  <si>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</si>
  <si>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</si>
  <si>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</si>
  <si>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CHAMPAIGN</t>
  </si>
  <si>
    <t>512 W 1ST STREET</t>
  </si>
  <si>
    <t>HOMER</t>
  </si>
  <si>
    <t>tom.davis@heritage8.com</t>
  </si>
  <si>
    <t>217-896-2041</t>
  </si>
  <si>
    <t>217-896-2338</t>
  </si>
  <si>
    <t>RUSSELL LEIGH &amp; ASSOCIATES</t>
  </si>
  <si>
    <t>RUSS LEIGH</t>
  </si>
  <si>
    <t>228 E MAIN ST</t>
  </si>
  <si>
    <t>HOOPESTON</t>
  </si>
  <si>
    <t>IL</t>
  </si>
  <si>
    <t>217-283-9336</t>
  </si>
  <si>
    <t>217-283-9736</t>
  </si>
  <si>
    <t>065-018319</t>
  </si>
  <si>
    <t>admin@russleigh.com</t>
  </si>
  <si>
    <t>TOM DAVIS</t>
  </si>
  <si>
    <t>No applicable contracts</t>
  </si>
  <si>
    <t>Villa Grove School District #302 - Sports Coop</t>
  </si>
  <si>
    <t>Education for Employment Services #330</t>
  </si>
  <si>
    <t>Rural Champaign County Special Education Coop</t>
  </si>
  <si>
    <t>Page 2 - Auditor's Questionnaire</t>
  </si>
  <si>
    <t>Part C - Other Issues</t>
  </si>
  <si>
    <t>Part A - Findings</t>
  </si>
  <si>
    <t>Box 3 - Paid salaries out of Capital Projects Fund</t>
  </si>
  <si>
    <t>Box 20 - No Board training on the District website, did not budget any expenses in the Bond and Interest and Capital Projects Funds</t>
  </si>
  <si>
    <t>Page 10 - Acct 1614 - Sales to Pupils - Other</t>
  </si>
  <si>
    <t>Col 10 - Educational</t>
  </si>
  <si>
    <t>Page 10 - Acct 1690 - Other Food Service</t>
  </si>
  <si>
    <t>Page 11 - Acct 1999 - Other Local Revenues</t>
  </si>
  <si>
    <t>Refunds &amp; Reimbursements - $12,553</t>
  </si>
  <si>
    <t>Page 10 - Acct 1829 - Sales - Other</t>
  </si>
  <si>
    <t>Sales to Teachers/Resale - $1,101</t>
  </si>
  <si>
    <t>Refunds &amp; Reimbursements - $36</t>
  </si>
  <si>
    <t>Milk Sales - $3,682</t>
  </si>
  <si>
    <t>Col 20 - Operations &amp; Maintenance</t>
  </si>
  <si>
    <t>Refunds &amp; Reimbursements - $1,098</t>
  </si>
  <si>
    <t>Col 40 - Transportation</t>
  </si>
  <si>
    <t>Refunds &amp; Reimbursements - $47,837</t>
  </si>
  <si>
    <t>Col 60 - Capital Projects</t>
  </si>
  <si>
    <t>Refunds &amp; Reimbursements - $69</t>
  </si>
  <si>
    <t>Page 12 - Acct 3999 - Other Restricted Revenue from State Sources</t>
  </si>
  <si>
    <t>Library Grant - $1,500</t>
  </si>
  <si>
    <t>Page 14 - Acct 4999 - Other Restricted Revenue from Federal Sources</t>
  </si>
  <si>
    <t>REAP Grant - $6,238</t>
  </si>
  <si>
    <t>Page 18 - Funct #5400 - Debt Services - Other</t>
  </si>
  <si>
    <t>Other Objects - Bond Fees - $1,500</t>
  </si>
  <si>
    <t>Page 20 - Funct 2900 - Other Support Services</t>
  </si>
  <si>
    <t>District Staff - $1,138</t>
  </si>
  <si>
    <t>Page 21 - Funct 2900 - Other Support Services</t>
  </si>
  <si>
    <t>District Staff - $5,140</t>
  </si>
  <si>
    <t>Series 2008 GO Bonds</t>
  </si>
  <si>
    <t>Series 2009 GO Bonds</t>
  </si>
  <si>
    <t>Series 2016 GO Bonds</t>
  </si>
  <si>
    <t>Capital Lease/Purchase</t>
  </si>
  <si>
    <t>Capital Lease</t>
  </si>
  <si>
    <t>2018 Taxable WCF Bonds</t>
  </si>
  <si>
    <t>AUDITCHECK Tab</t>
  </si>
  <si>
    <t>#8 - Long Term Debt retired from debt service does not equal principal retired due to refunded amounts being held in escrow</t>
  </si>
  <si>
    <t>#13 - No contracts greater than $25,000 in the CY</t>
  </si>
  <si>
    <t>Col 70 - Working Cash</t>
  </si>
  <si>
    <t>Page 8 - Acct 8990  - Other Uses Not Classified Elsewhere</t>
  </si>
  <si>
    <t>Bond Issuance Fees - $34,953</t>
  </si>
  <si>
    <t>Heritage CUSD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</si>
</sst>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64" fillId="0" borderId="0" xfId="0"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quotePrefix="1"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0" t="s">
        <v>425</v>
      </c>
      <c r="J1" s="2001"/>
      <c r="K1" s="2001"/>
      <c r="L1" s="2001"/>
      <c r="M1" s="2001"/>
      <c r="N1" s="2001"/>
      <c r="O1" s="2001"/>
      <c r="P1" s="2001"/>
      <c r="Q1" s="2001"/>
      <c r="R1" s="2001"/>
      <c r="S1" s="2001"/>
    </row>
    <row r="2" spans="1:28" ht="12" customHeight="1" x14ac:dyDescent="0.2">
      <c r="A2" s="47" t="s">
        <v>1684</v>
      </c>
      <c r="D2" s="48"/>
      <c r="I2" s="2002" t="s">
        <v>1036</v>
      </c>
      <c r="J2" s="2001"/>
      <c r="K2" s="2001"/>
      <c r="L2" s="2001"/>
      <c r="M2" s="2001"/>
      <c r="N2" s="2001"/>
      <c r="O2" s="2001"/>
      <c r="P2" s="2001"/>
      <c r="Q2" s="2001"/>
      <c r="R2" s="2001"/>
      <c r="S2" s="2001"/>
    </row>
    <row r="3" spans="1:28" ht="12" customHeight="1" x14ac:dyDescent="0.2">
      <c r="A3" s="155" t="s">
        <v>1685</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t="s">
        <v>2077</v>
      </c>
      <c r="C5" s="26" t="s">
        <v>966</v>
      </c>
      <c r="D5" s="84"/>
      <c r="E5" s="84"/>
      <c r="H5" s="38"/>
      <c r="I5" s="2010" t="s">
        <v>701</v>
      </c>
      <c r="J5" s="2009"/>
      <c r="K5" s="2009"/>
      <c r="L5" s="2009"/>
      <c r="M5" s="2009"/>
      <c r="N5" s="2009"/>
      <c r="O5" s="2009"/>
      <c r="P5" s="2009"/>
      <c r="Q5" s="2009"/>
      <c r="R5" s="2009"/>
      <c r="S5" s="2009"/>
    </row>
    <row r="6" spans="1:28" ht="14.1" customHeight="1" x14ac:dyDescent="0.2">
      <c r="B6" s="104"/>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t="s">
        <v>2077</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5">
        <v>9010008026</v>
      </c>
      <c r="B13" s="2036"/>
      <c r="C13" s="2036"/>
      <c r="D13" s="2036"/>
      <c r="E13" s="2036"/>
      <c r="F13" s="2036"/>
      <c r="G13" s="2036"/>
      <c r="H13" s="2037"/>
      <c r="I13" s="31"/>
      <c r="J13" s="30"/>
      <c r="K13" s="28"/>
      <c r="L13" s="30"/>
      <c r="M13" s="30"/>
      <c r="N13" s="30"/>
      <c r="O13" s="30"/>
      <c r="P13" s="30"/>
      <c r="Q13" s="30"/>
      <c r="R13" s="30"/>
      <c r="S13" s="30"/>
      <c r="T13" s="2040" t="s">
        <v>2084</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4" t="s">
        <v>2078</v>
      </c>
      <c r="B15" s="2038"/>
      <c r="C15" s="2038"/>
      <c r="D15" s="2038"/>
      <c r="E15" s="2038"/>
      <c r="F15" s="2038"/>
      <c r="G15" s="2038"/>
      <c r="H15" s="2039"/>
      <c r="T15" s="2044" t="s">
        <v>2085</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2140</v>
      </c>
      <c r="B17" s="1995"/>
      <c r="C17" s="1995"/>
      <c r="D17" s="1995"/>
      <c r="E17" s="1995"/>
      <c r="F17" s="1995"/>
      <c r="G17" s="1995"/>
      <c r="H17" s="2020"/>
      <c r="T17" s="2051" t="s">
        <v>2086</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2079</v>
      </c>
      <c r="B19" s="1980"/>
      <c r="C19" s="1980"/>
      <c r="D19" s="1980"/>
      <c r="E19" s="1980"/>
      <c r="F19" s="1980"/>
      <c r="G19" s="1980"/>
      <c r="H19" s="1960"/>
      <c r="I19" s="30"/>
      <c r="J19" s="99"/>
      <c r="K19" s="40"/>
      <c r="L19" s="38"/>
      <c r="M19" s="112" t="s">
        <v>333</v>
      </c>
      <c r="P19" s="27"/>
      <c r="Q19" s="27"/>
      <c r="R19" s="27"/>
      <c r="S19" s="31"/>
      <c r="T19" s="2034" t="s">
        <v>2087</v>
      </c>
      <c r="U19" s="1959"/>
      <c r="V19" s="1959"/>
      <c r="W19" s="1960"/>
      <c r="X19" s="2049" t="s">
        <v>2088</v>
      </c>
      <c r="Y19" s="2050"/>
      <c r="Z19" s="2047">
        <v>60942</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2080</v>
      </c>
      <c r="B21" s="1959"/>
      <c r="C21" s="1959"/>
      <c r="D21" s="1959"/>
      <c r="E21" s="1959"/>
      <c r="F21" s="1959"/>
      <c r="G21" s="1959"/>
      <c r="H21" s="1960"/>
      <c r="I21" s="2014" t="s">
        <v>699</v>
      </c>
      <c r="J21" s="2009"/>
      <c r="K21" s="2009"/>
      <c r="L21" s="2009"/>
      <c r="M21" s="2009"/>
      <c r="N21" s="2009"/>
      <c r="O21" s="2009"/>
      <c r="P21" s="2009"/>
      <c r="Q21" s="2009"/>
      <c r="R21" s="2009"/>
      <c r="S21" s="2015"/>
      <c r="T21" s="2059" t="s">
        <v>2089</v>
      </c>
      <c r="U21" s="2060"/>
      <c r="V21" s="2060"/>
      <c r="W21" s="2060"/>
      <c r="X21" s="2065" t="s">
        <v>2090</v>
      </c>
      <c r="Y21" s="2066"/>
      <c r="Z21" s="2066"/>
      <c r="AA21" s="2067"/>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2011"/>
      <c r="B23" s="2012"/>
      <c r="C23" s="2012"/>
      <c r="D23" s="2012"/>
      <c r="E23" s="2012"/>
      <c r="F23" s="2012"/>
      <c r="G23" s="2012"/>
      <c r="H23" s="2013"/>
      <c r="T23" s="2057" t="s">
        <v>2091</v>
      </c>
      <c r="U23" s="2058"/>
      <c r="V23" s="2058"/>
      <c r="W23" s="2058"/>
      <c r="X23" s="2062">
        <v>44469</v>
      </c>
      <c r="Y23" s="2063"/>
      <c r="Z23" s="2063"/>
      <c r="AA23" s="2064"/>
    </row>
    <row r="24" spans="1:27" ht="14.1" customHeight="1" x14ac:dyDescent="0.2">
      <c r="A24" s="88" t="s">
        <v>698</v>
      </c>
      <c r="B24" s="49"/>
      <c r="C24" s="49"/>
      <c r="D24" s="49"/>
      <c r="E24" s="49"/>
      <c r="F24" s="49"/>
      <c r="G24" s="49"/>
      <c r="H24" s="61"/>
      <c r="J24" s="1981">
        <f>IF(B5="x",IF(AUDITCHECK!D29="AFR form Incomplete.","",IF(AUDITCHECK!D29="Deficit reduction plan is required.","School District must complete a deficit reduction plan in the 2018-2019 Budget",)),"")</f>
        <v>0</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61849</v>
      </c>
      <c r="B25" s="1959"/>
      <c r="C25" s="1959"/>
      <c r="D25" s="1959"/>
      <c r="E25" s="1959"/>
      <c r="F25" s="1959"/>
      <c r="G25" s="1959"/>
      <c r="H25" s="1960"/>
      <c r="I25" s="113"/>
      <c r="J25" s="1983"/>
      <c r="K25" s="1983"/>
      <c r="L25" s="1983"/>
      <c r="M25" s="1983"/>
      <c r="N25" s="1983"/>
      <c r="O25" s="1983"/>
      <c r="P25" s="1983"/>
      <c r="Q25" s="1983"/>
      <c r="R25" s="1983"/>
      <c r="S25" s="1984"/>
      <c r="T25" s="2054" t="s">
        <v>2092</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1591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t="s">
        <v>2093</v>
      </c>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t="s">
        <v>2081</v>
      </c>
      <c r="B40" s="1973"/>
      <c r="C40" s="1974"/>
      <c r="D40" s="1974"/>
      <c r="E40" s="1974"/>
      <c r="F40" s="1975"/>
      <c r="G40" s="1975"/>
      <c r="H40" s="1976"/>
      <c r="I40" s="1997"/>
      <c r="J40" s="1998"/>
      <c r="K40" s="1998"/>
      <c r="L40" s="1998"/>
      <c r="M40" s="1998"/>
      <c r="N40" s="1998"/>
      <c r="O40" s="1998"/>
      <c r="P40" s="1998"/>
      <c r="Q40" s="1998"/>
      <c r="R40" s="1998"/>
      <c r="S40" s="1999"/>
      <c r="T40" s="1997"/>
      <c r="U40" s="2061"/>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t="s">
        <v>2082</v>
      </c>
      <c r="B42" s="1978"/>
      <c r="C42" s="1979"/>
      <c r="D42" s="1977" t="s">
        <v>2083</v>
      </c>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t="s">
        <v>2077</v>
      </c>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89146726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2.4E-2</v>
      </c>
      <c r="E10" s="356" t="s">
        <v>1062</v>
      </c>
      <c r="F10" s="355">
        <v>5.0000000000000001E-3</v>
      </c>
      <c r="G10" s="356" t="s">
        <v>1062</v>
      </c>
      <c r="H10" s="355">
        <v>2E-3</v>
      </c>
      <c r="I10" s="356" t="s">
        <v>1063</v>
      </c>
      <c r="J10" s="1754">
        <f>ROUND(D10+F10+H10,5)</f>
        <v>3.1E-2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4294070</v>
      </c>
      <c r="E16" s="356"/>
      <c r="F16" s="1755">
        <f>SUM('Acct Summary 7-8'!C17,'Acct Summary 7-8'!D17,'Acct Summary 7-8'!F17)</f>
        <v>4086533</v>
      </c>
      <c r="G16" s="356"/>
      <c r="H16" s="1755">
        <f>SUM(D16-F16)</f>
        <v>207537</v>
      </c>
      <c r="I16" s="222"/>
      <c r="J16" s="1755">
        <f>SUM('Acct Summary 7-8'!C81,'Acct Summary 7-8'!D81,'Acct Summary 7-8'!F81,'Acct Summary 7-8'!I81)</f>
        <v>4031012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12302248.188000001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5469418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Heritage CUSD 8</v>
      </c>
      <c r="E7" s="391"/>
      <c r="G7" s="252"/>
      <c r="H7" s="387"/>
      <c r="I7" s="387"/>
      <c r="J7" s="387"/>
      <c r="K7" s="387"/>
      <c r="L7" s="329"/>
      <c r="M7" s="329"/>
      <c r="N7" s="329"/>
      <c r="O7" s="329"/>
      <c r="P7" s="329"/>
    </row>
    <row r="8" spans="1:18" ht="12.75" x14ac:dyDescent="0.2">
      <c r="A8" s="329"/>
      <c r="B8" s="329"/>
      <c r="C8" s="389" t="s">
        <v>1187</v>
      </c>
      <c r="D8" s="392">
        <f>COVER!A13</f>
        <v>9010008026</v>
      </c>
      <c r="E8" s="393"/>
      <c r="G8" s="329"/>
      <c r="H8" s="329"/>
      <c r="I8" s="329"/>
      <c r="J8" s="329"/>
      <c r="K8" s="329"/>
      <c r="L8" s="329"/>
      <c r="M8" s="329"/>
      <c r="N8" s="329"/>
      <c r="O8" s="329"/>
      <c r="P8" s="329"/>
    </row>
    <row r="9" spans="1:18" ht="12.75" x14ac:dyDescent="0.2">
      <c r="A9" s="329"/>
      <c r="B9" s="329"/>
      <c r="C9" s="389" t="s">
        <v>737</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4031012</v>
      </c>
      <c r="I12" s="404"/>
      <c r="J12" s="404"/>
      <c r="K12" s="405">
        <f>TRUNC((H12/H13*100000),5)/100000</f>
        <v>0.93873923800000003</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4294070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4086533</v>
      </c>
      <c r="I17" s="404"/>
      <c r="J17" s="416"/>
      <c r="K17" s="405">
        <f>TRUNC((H17/H18*100000),5)/100000</f>
        <v>0.95166892940000003</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4294070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4039553</v>
      </c>
      <c r="I24" s="422"/>
      <c r="J24" s="422"/>
      <c r="K24" s="423">
        <f>TRUNC(((H24/H25*100000)/100000),2)</f>
        <v>355.86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11351.48056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2349016.2300999998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5469418</v>
      </c>
      <c r="I32" s="420"/>
      <c r="J32" s="420"/>
      <c r="K32" s="423">
        <f>TRUNC(100-((((H32/H33*100))*100)/100),2)</f>
        <v>55.54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12302248.188000001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A47" sqref="A47"/>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1416129</v>
      </c>
      <c r="D4" s="466">
        <v>712208</v>
      </c>
      <c r="E4" s="466">
        <v>314072</v>
      </c>
      <c r="F4" s="466">
        <v>366328</v>
      </c>
      <c r="G4" s="466">
        <v>166521</v>
      </c>
      <c r="H4" s="466">
        <v>578334</v>
      </c>
      <c r="I4" s="466">
        <v>1544888</v>
      </c>
      <c r="J4" s="467">
        <v>798682</v>
      </c>
      <c r="K4" s="466"/>
      <c r="L4" s="466">
        <v>109173</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v>366</v>
      </c>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1416495</v>
      </c>
      <c r="D13" s="1759">
        <f t="shared" ref="D13:L13" si="0">SUM(D4:D12)</f>
        <v>712208</v>
      </c>
      <c r="E13" s="1759">
        <f t="shared" si="0"/>
        <v>314072</v>
      </c>
      <c r="F13" s="1759">
        <f t="shared" si="0"/>
        <v>366328</v>
      </c>
      <c r="G13" s="1759">
        <f t="shared" si="0"/>
        <v>166521</v>
      </c>
      <c r="H13" s="1759">
        <f t="shared" si="0"/>
        <v>578334</v>
      </c>
      <c r="I13" s="1759">
        <f t="shared" si="0"/>
        <v>1544888</v>
      </c>
      <c r="J13" s="1759">
        <f t="shared" si="0"/>
        <v>798682</v>
      </c>
      <c r="K13" s="1759">
        <f t="shared" si="0"/>
        <v>0</v>
      </c>
      <c r="L13" s="1759">
        <f t="shared" si="0"/>
        <v>109173</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85250</v>
      </c>
      <c r="N16" s="484"/>
    </row>
    <row r="17" spans="1:14" s="485" customFormat="1" ht="12.75" customHeight="1" x14ac:dyDescent="0.2">
      <c r="A17" s="482" t="s">
        <v>1470</v>
      </c>
      <c r="B17" s="483">
        <v>230</v>
      </c>
      <c r="C17" s="477"/>
      <c r="D17" s="477"/>
      <c r="E17" s="477"/>
      <c r="F17" s="477"/>
      <c r="G17" s="477"/>
      <c r="H17" s="477"/>
      <c r="I17" s="477"/>
      <c r="J17" s="477"/>
      <c r="K17" s="477"/>
      <c r="L17" s="477"/>
      <c r="M17" s="467">
        <v>9441867</v>
      </c>
      <c r="N17" s="484"/>
    </row>
    <row r="18" spans="1:14" s="485" customFormat="1" ht="12.75" customHeight="1" x14ac:dyDescent="0.2">
      <c r="A18" s="482" t="s">
        <v>1471</v>
      </c>
      <c r="B18" s="483">
        <v>240</v>
      </c>
      <c r="C18" s="477"/>
      <c r="D18" s="477"/>
      <c r="E18" s="477"/>
      <c r="F18" s="477"/>
      <c r="G18" s="477"/>
      <c r="H18" s="477"/>
      <c r="I18" s="477"/>
      <c r="J18" s="477"/>
      <c r="K18" s="477"/>
      <c r="L18" s="477"/>
      <c r="M18" s="467">
        <v>428654</v>
      </c>
      <c r="N18" s="484"/>
    </row>
    <row r="19" spans="1:14" s="485" customFormat="1" ht="12.75" customHeight="1" x14ac:dyDescent="0.2">
      <c r="A19" s="482" t="s">
        <v>1472</v>
      </c>
      <c r="B19" s="483">
        <v>250</v>
      </c>
      <c r="C19" s="477"/>
      <c r="D19" s="477"/>
      <c r="E19" s="477"/>
      <c r="F19" s="477"/>
      <c r="G19" s="477"/>
      <c r="H19" s="477"/>
      <c r="I19" s="477"/>
      <c r="J19" s="477"/>
      <c r="K19" s="477"/>
      <c r="L19" s="477"/>
      <c r="M19" s="467">
        <v>3972768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314072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5155346</v>
      </c>
    </row>
    <row r="23" spans="1:14" ht="13.5" customHeight="1" thickBot="1" x14ac:dyDescent="0.25">
      <c r="A23" s="1758" t="s">
        <v>664</v>
      </c>
      <c r="B23" s="1763"/>
      <c r="C23" s="468"/>
      <c r="D23" s="468"/>
      <c r="E23" s="468"/>
      <c r="F23" s="468"/>
      <c r="G23" s="468"/>
      <c r="H23" s="468"/>
      <c r="I23" s="468"/>
      <c r="J23" s="468"/>
      <c r="K23" s="468"/>
      <c r="L23" s="468"/>
      <c r="M23" s="1710">
        <f>SUM(M15:M22)</f>
        <v>13928539</v>
      </c>
      <c r="N23" s="1710">
        <f>SUM(N21:N22)</f>
        <v>5469418</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8907</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109173</v>
      </c>
      <c r="M33" s="468"/>
      <c r="N33" s="469"/>
    </row>
    <row r="34" spans="1:14" ht="13.5" customHeight="1" thickBot="1" x14ac:dyDescent="0.25">
      <c r="A34" s="1760" t="s">
        <v>675</v>
      </c>
      <c r="B34" s="1761"/>
      <c r="C34" s="1762">
        <f>SUM(C25:C33)</f>
        <v>8907</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109173</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5469418</v>
      </c>
    </row>
    <row r="37" spans="1:14" ht="13.5" thickBot="1" x14ac:dyDescent="0.25">
      <c r="A37" s="1758" t="s">
        <v>674</v>
      </c>
      <c r="B37" s="1763"/>
      <c r="C37" s="477"/>
      <c r="D37" s="477"/>
      <c r="E37" s="477"/>
      <c r="F37" s="477"/>
      <c r="G37" s="477"/>
      <c r="H37" s="477"/>
      <c r="I37" s="477"/>
      <c r="J37" s="477"/>
      <c r="K37" s="477"/>
      <c r="L37" s="480"/>
      <c r="M37" s="468"/>
      <c r="N37" s="1710">
        <f>SUM(N36:N36)</f>
        <v>5469418</v>
      </c>
    </row>
    <row r="38" spans="1:14" s="329" customFormat="1" ht="13.5" customHeight="1" thickTop="1" x14ac:dyDescent="0.2">
      <c r="A38" s="496" t="s">
        <v>440</v>
      </c>
      <c r="B38" s="483">
        <v>714</v>
      </c>
      <c r="C38" s="466"/>
      <c r="D38" s="466"/>
      <c r="E38" s="466"/>
      <c r="F38" s="466"/>
      <c r="G38" s="466">
        <v>166521</v>
      </c>
      <c r="H38" s="466">
        <v>176584</v>
      </c>
      <c r="I38" s="466"/>
      <c r="J38" s="467"/>
      <c r="K38" s="466"/>
      <c r="L38" s="481"/>
      <c r="M38" s="497"/>
      <c r="N38" s="497"/>
    </row>
    <row r="39" spans="1:14" s="329" customFormat="1" ht="13.5" customHeight="1" x14ac:dyDescent="0.2">
      <c r="A39" s="496" t="s">
        <v>360</v>
      </c>
      <c r="B39" s="483">
        <v>730</v>
      </c>
      <c r="C39" s="466">
        <v>1407588</v>
      </c>
      <c r="D39" s="466">
        <v>712208</v>
      </c>
      <c r="E39" s="466">
        <v>314072</v>
      </c>
      <c r="F39" s="466">
        <v>366328</v>
      </c>
      <c r="G39" s="466"/>
      <c r="H39" s="466">
        <v>401750</v>
      </c>
      <c r="I39" s="466">
        <v>1544888</v>
      </c>
      <c r="J39" s="467">
        <v>798682</v>
      </c>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13928539</v>
      </c>
      <c r="N40" s="497"/>
    </row>
    <row r="41" spans="1:14" ht="13.5" customHeight="1" thickBot="1" x14ac:dyDescent="0.25">
      <c r="A41" s="1758" t="s">
        <v>676</v>
      </c>
      <c r="B41" s="1728"/>
      <c r="C41" s="1710">
        <f>(SUM(C34,C37,C38,C39))</f>
        <v>1416495</v>
      </c>
      <c r="D41" s="1710">
        <f t="shared" ref="D41:L41" si="2">SUM(D34,D37,D38:D39)</f>
        <v>712208</v>
      </c>
      <c r="E41" s="1710">
        <f t="shared" si="2"/>
        <v>314072</v>
      </c>
      <c r="F41" s="1710">
        <f t="shared" si="2"/>
        <v>366328</v>
      </c>
      <c r="G41" s="1710">
        <f t="shared" si="2"/>
        <v>166521</v>
      </c>
      <c r="H41" s="1710">
        <f t="shared" si="2"/>
        <v>578334</v>
      </c>
      <c r="I41" s="1710">
        <f t="shared" si="2"/>
        <v>1544888</v>
      </c>
      <c r="J41" s="1710">
        <f t="shared" si="2"/>
        <v>798682</v>
      </c>
      <c r="K41" s="1710">
        <f t="shared" si="2"/>
        <v>0</v>
      </c>
      <c r="L41" s="1710">
        <f t="shared" si="2"/>
        <v>109173</v>
      </c>
      <c r="M41" s="1710">
        <f>SUM(M40)</f>
        <v>13928539</v>
      </c>
      <c r="N41" s="1710">
        <f>SUM(N37)</f>
        <v>5469418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Split"/>
      <selection activeCell="A47" sqref="A47"/>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2331598</v>
      </c>
      <c r="D4" s="1764">
        <f>'Revenues 9-14'!D109</f>
        <v>555092</v>
      </c>
      <c r="E4" s="1764">
        <f>'Revenues 9-14'!E109</f>
        <v>796005</v>
      </c>
      <c r="F4" s="1764">
        <f>'Revenues 9-14'!F109</f>
        <v>224232</v>
      </c>
      <c r="G4" s="1764">
        <f>'Revenues 9-14'!G109</f>
        <v>287969</v>
      </c>
      <c r="H4" s="1764">
        <f>'Revenues 9-14'!H109</f>
        <v>317258</v>
      </c>
      <c r="I4" s="1764">
        <f>'Revenues 9-14'!I109</f>
        <v>48165</v>
      </c>
      <c r="J4" s="1764">
        <f>'Revenues 9-14'!J109</f>
        <v>633478</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718982</v>
      </c>
      <c r="D6" s="1765">
        <f>'Revenues 9-14'!D173</f>
        <v>0</v>
      </c>
      <c r="E6" s="1765">
        <f>'Revenues 9-14'!E173</f>
        <v>0</v>
      </c>
      <c r="F6" s="1765">
        <f>'Revenues 9-14'!F173</f>
        <v>176245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239756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3290336</v>
      </c>
      <c r="D8" s="1710">
        <f t="shared" ref="D8:K8" si="0">SUM(D4:D7)</f>
        <v>555092</v>
      </c>
      <c r="E8" s="1710">
        <f t="shared" si="0"/>
        <v>796005</v>
      </c>
      <c r="F8" s="1710">
        <f t="shared" si="0"/>
        <v>400477</v>
      </c>
      <c r="G8" s="1710">
        <f t="shared" si="0"/>
        <v>287969</v>
      </c>
      <c r="H8" s="1710">
        <f t="shared" si="0"/>
        <v>317258</v>
      </c>
      <c r="I8" s="1710">
        <f t="shared" si="0"/>
        <v>48165</v>
      </c>
      <c r="J8" s="1710">
        <f t="shared" si="0"/>
        <v>633478</v>
      </c>
      <c r="K8" s="1710">
        <f t="shared" si="0"/>
        <v>0</v>
      </c>
      <c r="L8" s="347"/>
    </row>
    <row r="9" spans="1:13" ht="15.75" thickTop="1" x14ac:dyDescent="0.2">
      <c r="A9" s="514" t="s">
        <v>1752</v>
      </c>
      <c r="B9" s="515">
        <v>3998</v>
      </c>
      <c r="C9" s="481">
        <v>1561603</v>
      </c>
      <c r="D9" s="516"/>
      <c r="E9" s="481"/>
      <c r="F9" s="481"/>
      <c r="G9" s="517"/>
      <c r="H9" s="481"/>
      <c r="I9" s="509" t="s">
        <v>1231</v>
      </c>
      <c r="J9" s="478"/>
      <c r="K9" s="481"/>
      <c r="L9" s="347"/>
    </row>
    <row r="10" spans="1:13" s="519" customFormat="1" ht="13.5" thickBot="1" x14ac:dyDescent="0.25">
      <c r="A10" s="1758" t="s">
        <v>1235</v>
      </c>
      <c r="B10" s="1731"/>
      <c r="C10" s="1710">
        <f>SUM(C8:C9)</f>
        <v>4851939</v>
      </c>
      <c r="D10" s="1710">
        <f t="shared" ref="D10:K10" si="1">SUM(D8:D9)</f>
        <v>555092</v>
      </c>
      <c r="E10" s="1710">
        <f t="shared" si="1"/>
        <v>796005</v>
      </c>
      <c r="F10" s="1710">
        <f t="shared" si="1"/>
        <v>400477</v>
      </c>
      <c r="G10" s="1710">
        <f t="shared" si="1"/>
        <v>287969</v>
      </c>
      <c r="H10" s="1710">
        <f t="shared" si="1"/>
        <v>317258</v>
      </c>
      <c r="I10" s="1710">
        <f t="shared" si="1"/>
        <v>48165</v>
      </c>
      <c r="J10" s="1710">
        <f t="shared" si="1"/>
        <v>633478</v>
      </c>
      <c r="K10" s="1710">
        <f t="shared" si="1"/>
        <v>0</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2306138</v>
      </c>
      <c r="D12" s="520" t="s">
        <v>1231</v>
      </c>
      <c r="E12" s="468" t="s">
        <v>1231</v>
      </c>
      <c r="F12" s="468" t="s">
        <v>1231</v>
      </c>
      <c r="G12" s="1764">
        <f>'Expenditures 15-22'!K229</f>
        <v>37169</v>
      </c>
      <c r="H12" s="521"/>
      <c r="I12" s="468" t="s">
        <v>1231</v>
      </c>
      <c r="J12" s="468" t="s">
        <v>1231</v>
      </c>
      <c r="K12" s="521" t="s">
        <v>1231</v>
      </c>
      <c r="L12" s="347"/>
    </row>
    <row r="13" spans="1:13" ht="15.75" customHeight="1" x14ac:dyDescent="0.2">
      <c r="A13" s="1598" t="s">
        <v>477</v>
      </c>
      <c r="B13" s="1600">
        <v>2000</v>
      </c>
      <c r="C13" s="1765">
        <f>'Expenditures 15-22'!K74</f>
        <v>830940</v>
      </c>
      <c r="D13" s="1765">
        <f>'Expenditures 15-22'!K129</f>
        <v>512151</v>
      </c>
      <c r="E13" s="469" t="s">
        <v>1231</v>
      </c>
      <c r="F13" s="1765">
        <f>'Expenditures 15-22'!K184</f>
        <v>385611</v>
      </c>
      <c r="G13" s="1765">
        <f>'Expenditures 15-22'!K279</f>
        <v>181482</v>
      </c>
      <c r="H13" s="1765">
        <f>'Expenditures 15-22'!K303</f>
        <v>277686</v>
      </c>
      <c r="I13" s="468" t="s">
        <v>1231</v>
      </c>
      <c r="J13" s="1765">
        <f>'Expenditures 15-22'!K330</f>
        <v>560806</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51693</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841134</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3188771</v>
      </c>
      <c r="D17" s="1710">
        <f t="shared" si="2"/>
        <v>512151</v>
      </c>
      <c r="E17" s="1710">
        <f t="shared" si="2"/>
        <v>841134</v>
      </c>
      <c r="F17" s="1710">
        <f t="shared" si="2"/>
        <v>385611</v>
      </c>
      <c r="G17" s="1710">
        <f t="shared" si="2"/>
        <v>218651</v>
      </c>
      <c r="H17" s="1710">
        <f t="shared" si="2"/>
        <v>277686</v>
      </c>
      <c r="I17" s="468"/>
      <c r="J17" s="1710">
        <f>SUM(J12:J16)</f>
        <v>560806</v>
      </c>
      <c r="K17" s="1710">
        <f>SUM(K12:K16)</f>
        <v>0</v>
      </c>
      <c r="L17" s="347"/>
    </row>
    <row r="18" spans="1:12" ht="15" customHeight="1" thickTop="1" x14ac:dyDescent="0.2">
      <c r="A18" s="1766" t="s">
        <v>1753</v>
      </c>
      <c r="B18" s="1767">
        <v>4180</v>
      </c>
      <c r="C18" s="1764">
        <f t="shared" ref="C18:H18" si="3">C9</f>
        <v>1561603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4750374</v>
      </c>
      <c r="D19" s="1710">
        <f t="shared" si="4"/>
        <v>512151</v>
      </c>
      <c r="E19" s="1710">
        <f t="shared" si="4"/>
        <v>841134</v>
      </c>
      <c r="F19" s="1710">
        <f t="shared" si="4"/>
        <v>385611</v>
      </c>
      <c r="G19" s="1710">
        <f t="shared" si="4"/>
        <v>218651</v>
      </c>
      <c r="H19" s="1710">
        <f t="shared" si="4"/>
        <v>277686</v>
      </c>
      <c r="I19" s="468"/>
      <c r="J19" s="1710">
        <f>SUM(J17:J18)</f>
        <v>560806</v>
      </c>
      <c r="K19" s="1710">
        <f>SUM(K17:K18)</f>
        <v>0</v>
      </c>
      <c r="L19" s="347"/>
    </row>
    <row r="20" spans="1:12" ht="16.5" thickTop="1" thickBot="1" x14ac:dyDescent="0.25">
      <c r="A20" s="2144" t="s">
        <v>1754</v>
      </c>
      <c r="B20" s="2145"/>
      <c r="C20" s="1768">
        <f>C8-C17</f>
        <v>101565</v>
      </c>
      <c r="D20" s="1768">
        <f t="shared" ref="D20:K20" si="5">D8-D17</f>
        <v>42941</v>
      </c>
      <c r="E20" s="1768">
        <f t="shared" si="5"/>
        <v>-45129</v>
      </c>
      <c r="F20" s="1768">
        <f t="shared" si="5"/>
        <v>14866</v>
      </c>
      <c r="G20" s="1768">
        <f t="shared" si="5"/>
        <v>69318</v>
      </c>
      <c r="H20" s="1768">
        <f t="shared" si="5"/>
        <v>39572</v>
      </c>
      <c r="I20" s="1768">
        <f t="shared" si="5"/>
        <v>48165</v>
      </c>
      <c r="J20" s="1768">
        <f t="shared" si="5"/>
        <v>72672</v>
      </c>
      <c r="K20" s="1768">
        <f t="shared" si="5"/>
        <v>0</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535000</v>
      </c>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535000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v>34953</v>
      </c>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34953</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500047</v>
      </c>
      <c r="J77" s="1725">
        <f t="shared" si="8"/>
        <v>0</v>
      </c>
      <c r="K77" s="1725">
        <f t="shared" si="8"/>
        <v>0</v>
      </c>
      <c r="L77" s="347"/>
    </row>
    <row r="78" spans="1:12" ht="21.75" customHeight="1" thickTop="1" thickBot="1" x14ac:dyDescent="0.25">
      <c r="A78" s="2140" t="s">
        <v>618</v>
      </c>
      <c r="B78" s="2141"/>
      <c r="C78" s="1724">
        <f t="shared" ref="C78:K78" si="9">C20+C77</f>
        <v>101565</v>
      </c>
      <c r="D78" s="1724">
        <f t="shared" si="9"/>
        <v>42941</v>
      </c>
      <c r="E78" s="1724">
        <f t="shared" si="9"/>
        <v>-45129</v>
      </c>
      <c r="F78" s="1724">
        <f t="shared" si="9"/>
        <v>14866</v>
      </c>
      <c r="G78" s="1724">
        <f t="shared" si="9"/>
        <v>69318</v>
      </c>
      <c r="H78" s="1724">
        <f t="shared" si="9"/>
        <v>39572</v>
      </c>
      <c r="I78" s="1724">
        <f t="shared" si="9"/>
        <v>548212</v>
      </c>
      <c r="J78" s="1724">
        <f t="shared" si="9"/>
        <v>72672</v>
      </c>
      <c r="K78" s="1724">
        <f t="shared" si="9"/>
        <v>0</v>
      </c>
      <c r="L78" s="533"/>
    </row>
    <row r="79" spans="1:12" ht="13.5" thickTop="1" x14ac:dyDescent="0.2">
      <c r="A79" s="1516" t="s">
        <v>2071</v>
      </c>
      <c r="B79" s="534"/>
      <c r="C79" s="478">
        <v>1306023</v>
      </c>
      <c r="D79" s="535">
        <v>669267</v>
      </c>
      <c r="E79" s="535">
        <v>359201</v>
      </c>
      <c r="F79" s="535">
        <v>351462</v>
      </c>
      <c r="G79" s="535">
        <v>97203</v>
      </c>
      <c r="H79" s="535">
        <v>538762</v>
      </c>
      <c r="I79" s="535">
        <v>996676</v>
      </c>
      <c r="J79" s="535">
        <v>726010</v>
      </c>
      <c r="K79" s="535"/>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1407588</v>
      </c>
      <c r="D81" s="1710">
        <f>SUM(D78:D80)</f>
        <v>712208</v>
      </c>
      <c r="E81" s="1710">
        <f t="shared" ref="E81:K81" si="10">SUM(E78:E80)</f>
        <v>314072</v>
      </c>
      <c r="F81" s="1710">
        <f t="shared" si="10"/>
        <v>366328</v>
      </c>
      <c r="G81" s="1710">
        <f t="shared" si="10"/>
        <v>166521</v>
      </c>
      <c r="H81" s="1710">
        <f t="shared" si="10"/>
        <v>578334</v>
      </c>
      <c r="I81" s="1710">
        <f t="shared" si="10"/>
        <v>1544888</v>
      </c>
      <c r="J81" s="1710">
        <f t="shared" si="10"/>
        <v>798682</v>
      </c>
      <c r="K81" s="1710">
        <f t="shared" si="10"/>
        <v>0</v>
      </c>
      <c r="L81" s="347"/>
    </row>
    <row r="82" spans="1:12" ht="0.75" customHeight="1" thickTop="1" thickBot="1" x14ac:dyDescent="0.25">
      <c r="A82" s="536" t="s">
        <v>361</v>
      </c>
      <c r="B82" s="537"/>
      <c r="C82" s="538">
        <f>(C81-C79)</f>
        <v>101565</v>
      </c>
      <c r="D82" s="538">
        <f t="shared" ref="D82:K82" si="11">(D81-D79)</f>
        <v>42941</v>
      </c>
      <c r="E82" s="538">
        <f t="shared" si="11"/>
        <v>-45129</v>
      </c>
      <c r="F82" s="538">
        <f t="shared" si="11"/>
        <v>14866</v>
      </c>
      <c r="G82" s="538">
        <f t="shared" si="11"/>
        <v>69318</v>
      </c>
      <c r="H82" s="538">
        <f t="shared" si="11"/>
        <v>39572</v>
      </c>
      <c r="I82" s="538">
        <f t="shared" si="11"/>
        <v>548212</v>
      </c>
      <c r="J82" s="538">
        <f t="shared" si="11"/>
        <v>72672</v>
      </c>
      <c r="K82" s="538">
        <f t="shared" si="11"/>
        <v>0</v>
      </c>
    </row>
    <row r="83" spans="1:12" ht="14.25" hidden="1" thickTop="1" thickBot="1" x14ac:dyDescent="0.25">
      <c r="A83" s="539" t="s">
        <v>362</v>
      </c>
      <c r="B83" s="464"/>
      <c r="C83" s="540">
        <f>C82/C81</f>
        <v>7.2155346592895075E-2</v>
      </c>
      <c r="D83" s="540">
        <f t="shared" ref="D83:K83" si="12">D82/D81</f>
        <v>6.0292779637409297E-2</v>
      </c>
      <c r="E83" s="540">
        <f t="shared" si="12"/>
        <v>-0.14368998191497492</v>
      </c>
      <c r="F83" s="540">
        <f t="shared" si="12"/>
        <v>4.0581118560415803E-2</v>
      </c>
      <c r="G83" s="540">
        <f t="shared" si="12"/>
        <v>0.416271821572054</v>
      </c>
      <c r="H83" s="540">
        <f t="shared" si="12"/>
        <v>6.8424128617719168E-2</v>
      </c>
      <c r="I83" s="540">
        <f t="shared" si="12"/>
        <v>0.35485549761536112</v>
      </c>
      <c r="J83" s="540">
        <f t="shared" si="12"/>
        <v>9.0989905869920701E-2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sqref="A1:A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2104745</v>
      </c>
      <c r="D5" s="481">
        <v>438405</v>
      </c>
      <c r="E5" s="466">
        <v>795182</v>
      </c>
      <c r="F5" s="548">
        <v>175318</v>
      </c>
      <c r="G5" s="466">
        <v>142779</v>
      </c>
      <c r="H5" s="466"/>
      <c r="I5" s="466">
        <v>43884</v>
      </c>
      <c r="J5" s="467">
        <v>630469</v>
      </c>
      <c r="K5" s="466"/>
    </row>
    <row r="6" spans="1:12" ht="15" x14ac:dyDescent="0.2">
      <c r="A6" s="463" t="s">
        <v>1761</v>
      </c>
      <c r="B6" s="470">
        <v>1130</v>
      </c>
      <c r="C6" s="466">
        <v>44155</v>
      </c>
      <c r="D6" s="466"/>
      <c r="E6" s="475"/>
      <c r="F6" s="475"/>
      <c r="G6" s="468"/>
      <c r="H6" s="468"/>
      <c r="I6" s="468"/>
      <c r="J6" s="468"/>
      <c r="K6" s="468"/>
    </row>
    <row r="7" spans="1:12" x14ac:dyDescent="0.2">
      <c r="A7" s="463" t="s">
        <v>112</v>
      </c>
      <c r="B7" s="549">
        <v>1140</v>
      </c>
      <c r="C7" s="466">
        <v>35053</v>
      </c>
      <c r="D7" s="466"/>
      <c r="E7" s="468"/>
      <c r="F7" s="467"/>
      <c r="G7" s="467"/>
      <c r="H7" s="467"/>
      <c r="I7" s="468"/>
      <c r="J7" s="468"/>
      <c r="K7" s="468"/>
    </row>
    <row r="8" spans="1:12" x14ac:dyDescent="0.2">
      <c r="A8" s="463" t="s">
        <v>433</v>
      </c>
      <c r="B8" s="470">
        <v>1150</v>
      </c>
      <c r="C8" s="475"/>
      <c r="D8" s="475"/>
      <c r="E8" s="477"/>
      <c r="F8" s="477"/>
      <c r="G8" s="481">
        <v>142779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2183953</v>
      </c>
      <c r="D12" s="1729">
        <f t="shared" si="0"/>
        <v>438405</v>
      </c>
      <c r="E12" s="1729">
        <f t="shared" si="0"/>
        <v>795182</v>
      </c>
      <c r="F12" s="1729">
        <f t="shared" si="0"/>
        <v>175318</v>
      </c>
      <c r="G12" s="1729">
        <f t="shared" si="0"/>
        <v>285558</v>
      </c>
      <c r="H12" s="1729">
        <f t="shared" si="0"/>
        <v>0</v>
      </c>
      <c r="I12" s="1729">
        <f t="shared" si="0"/>
        <v>43884</v>
      </c>
      <c r="J12" s="1729">
        <f t="shared" si="0"/>
        <v>630469</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1100</v>
      </c>
      <c r="D14" s="466">
        <v>221</v>
      </c>
      <c r="E14" s="466">
        <v>407</v>
      </c>
      <c r="F14" s="466">
        <v>88</v>
      </c>
      <c r="G14" s="466">
        <v>149</v>
      </c>
      <c r="H14" s="466"/>
      <c r="I14" s="466">
        <v>22</v>
      </c>
      <c r="J14" s="467">
        <v>386</v>
      </c>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112992</v>
      </c>
      <c r="E16" s="466"/>
      <c r="F16" s="466"/>
      <c r="G16" s="466">
        <v>1827</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1100</v>
      </c>
      <c r="D18" s="1732">
        <f t="shared" ref="D18:K18" si="1">SUM(D14:D17)</f>
        <v>113213</v>
      </c>
      <c r="E18" s="1732">
        <f t="shared" si="1"/>
        <v>407</v>
      </c>
      <c r="F18" s="1732">
        <f t="shared" si="1"/>
        <v>88</v>
      </c>
      <c r="G18" s="1732">
        <f t="shared" si="1"/>
        <v>1976</v>
      </c>
      <c r="H18" s="1732">
        <f t="shared" si="1"/>
        <v>0</v>
      </c>
      <c r="I18" s="1732">
        <f t="shared" si="1"/>
        <v>22</v>
      </c>
      <c r="J18" s="1732">
        <f t="shared" si="1"/>
        <v>386</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4547</v>
      </c>
      <c r="D65" s="466">
        <v>2376</v>
      </c>
      <c r="E65" s="466">
        <v>416</v>
      </c>
      <c r="F65" s="467">
        <v>989</v>
      </c>
      <c r="G65" s="466">
        <v>435</v>
      </c>
      <c r="H65" s="466">
        <v>1688</v>
      </c>
      <c r="I65" s="466">
        <v>4259</v>
      </c>
      <c r="J65" s="467">
        <v>2623</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4547</v>
      </c>
      <c r="D67" s="1710">
        <f t="shared" ref="D67:K67" si="2">SUM(D65:D66)</f>
        <v>2376</v>
      </c>
      <c r="E67" s="1710">
        <f t="shared" si="2"/>
        <v>416</v>
      </c>
      <c r="F67" s="1710">
        <f t="shared" si="2"/>
        <v>989</v>
      </c>
      <c r="G67" s="1710">
        <f t="shared" si="2"/>
        <v>435</v>
      </c>
      <c r="H67" s="1710">
        <f t="shared" si="2"/>
        <v>1688</v>
      </c>
      <c r="I67" s="1710">
        <f t="shared" si="2"/>
        <v>4259</v>
      </c>
      <c r="J67" s="1710">
        <f t="shared" si="2"/>
        <v>2623</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41784</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3682</v>
      </c>
      <c r="D72" s="468"/>
      <c r="E72" s="468"/>
      <c r="F72" s="468"/>
      <c r="G72" s="468"/>
      <c r="H72" s="468"/>
      <c r="I72" s="468"/>
      <c r="J72" s="468"/>
      <c r="K72" s="468"/>
    </row>
    <row r="73" spans="1:11" ht="12.75" customHeight="1" x14ac:dyDescent="0.2">
      <c r="A73" s="463" t="s">
        <v>1055</v>
      </c>
      <c r="B73" s="470">
        <v>1620</v>
      </c>
      <c r="C73" s="551">
        <v>2067</v>
      </c>
      <c r="D73" s="468"/>
      <c r="E73" s="468"/>
      <c r="F73" s="468"/>
      <c r="G73" s="468"/>
      <c r="H73" s="468"/>
      <c r="I73" s="468"/>
      <c r="J73" s="468"/>
      <c r="K73" s="468"/>
    </row>
    <row r="74" spans="1:11" ht="12.75" customHeight="1" x14ac:dyDescent="0.2">
      <c r="A74" s="463" t="s">
        <v>25</v>
      </c>
      <c r="B74" s="470">
        <v>1690</v>
      </c>
      <c r="C74" s="551">
        <v>36</v>
      </c>
      <c r="D74" s="468"/>
      <c r="E74" s="468"/>
      <c r="F74" s="468"/>
      <c r="G74" s="468"/>
      <c r="H74" s="468"/>
      <c r="I74" s="468"/>
      <c r="J74" s="468"/>
      <c r="K74" s="468"/>
    </row>
    <row r="75" spans="1:11" ht="12.75" customHeight="1" thickBot="1" x14ac:dyDescent="0.25">
      <c r="A75" s="1730" t="s">
        <v>569</v>
      </c>
      <c r="B75" s="1731"/>
      <c r="C75" s="1710">
        <f>SUM(C69:C74)</f>
        <v>47569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11887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5425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17312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18725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1101</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19826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169</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18763</v>
      </c>
      <c r="D98" s="466"/>
      <c r="E98" s="512"/>
      <c r="F98" s="466"/>
      <c r="G98" s="512"/>
      <c r="H98" s="512"/>
      <c r="I98" s="510"/>
      <c r="J98" s="512"/>
      <c r="K98" s="512"/>
    </row>
    <row r="99" spans="1:12" ht="12.75" customHeight="1" x14ac:dyDescent="0.2">
      <c r="A99" s="463" t="s">
        <v>875</v>
      </c>
      <c r="B99" s="470">
        <v>1950</v>
      </c>
      <c r="C99" s="489">
        <v>3867</v>
      </c>
      <c r="D99" s="466"/>
      <c r="E99" s="466"/>
      <c r="F99" s="466"/>
      <c r="G99" s="466"/>
      <c r="H99" s="466"/>
      <c r="I99" s="468"/>
      <c r="J99" s="467"/>
      <c r="K99" s="466"/>
    </row>
    <row r="100" spans="1:12" ht="12.75" customHeight="1" x14ac:dyDescent="0.2">
      <c r="A100" s="463" t="s">
        <v>263</v>
      </c>
      <c r="B100" s="470">
        <v>1960</v>
      </c>
      <c r="C100" s="489">
        <v>15000</v>
      </c>
      <c r="D100" s="489"/>
      <c r="E100" s="489"/>
      <c r="F100" s="489"/>
      <c r="G100" s="489"/>
      <c r="H100" s="489"/>
      <c r="I100" s="467"/>
      <c r="J100" s="489"/>
      <c r="K100" s="467"/>
    </row>
    <row r="101" spans="1:12" ht="12.75" customHeight="1" x14ac:dyDescent="0.2">
      <c r="A101" s="463" t="s">
        <v>264</v>
      </c>
      <c r="B101" s="470">
        <v>1970</v>
      </c>
      <c r="C101" s="489">
        <v>6939</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315501</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12553</v>
      </c>
      <c r="D107" s="466">
        <v>1098</v>
      </c>
      <c r="E107" s="466"/>
      <c r="F107" s="466">
        <v>47837</v>
      </c>
      <c r="G107" s="466"/>
      <c r="H107" s="466">
        <v>69</v>
      </c>
      <c r="I107" s="466"/>
      <c r="J107" s="467"/>
      <c r="K107" s="466"/>
    </row>
    <row r="108" spans="1:12" ht="12.75" customHeight="1" thickBot="1" x14ac:dyDescent="0.25">
      <c r="A108" s="1730" t="s">
        <v>508</v>
      </c>
      <c r="B108" s="1734"/>
      <c r="C108" s="1729">
        <f>SUM(C95:C107)</f>
        <v>57291</v>
      </c>
      <c r="D108" s="1729">
        <f t="shared" ref="D108:K108" si="3">SUM(D95:D107)</f>
        <v>1098</v>
      </c>
      <c r="E108" s="1729">
        <f t="shared" si="3"/>
        <v>0</v>
      </c>
      <c r="F108" s="1729">
        <f t="shared" si="3"/>
        <v>47837</v>
      </c>
      <c r="G108" s="1729">
        <f t="shared" si="3"/>
        <v>0</v>
      </c>
      <c r="H108" s="1729">
        <f t="shared" si="3"/>
        <v>315570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2331598</v>
      </c>
      <c r="D109" s="1737">
        <f t="shared" si="4"/>
        <v>555092</v>
      </c>
      <c r="E109" s="1737">
        <f t="shared" si="4"/>
        <v>796005</v>
      </c>
      <c r="F109" s="1737">
        <f t="shared" si="4"/>
        <v>224232</v>
      </c>
      <c r="G109" s="1737">
        <f t="shared" si="4"/>
        <v>287969</v>
      </c>
      <c r="H109" s="1737">
        <f t="shared" si="4"/>
        <v>317258</v>
      </c>
      <c r="I109" s="1737">
        <f t="shared" si="4"/>
        <v>48165</v>
      </c>
      <c r="J109" s="1737">
        <f t="shared" si="4"/>
        <v>633478</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609485</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609485</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30675</v>
      </c>
      <c r="D125" s="561"/>
      <c r="E125" s="468"/>
      <c r="F125" s="466"/>
      <c r="G125" s="468"/>
      <c r="H125" s="468"/>
      <c r="I125" s="468"/>
      <c r="J125" s="468"/>
      <c r="K125" s="468"/>
    </row>
    <row r="126" spans="1:11" ht="12.75" customHeight="1" x14ac:dyDescent="0.2">
      <c r="A126" s="463" t="s">
        <v>922</v>
      </c>
      <c r="B126" s="562">
        <v>3110</v>
      </c>
      <c r="C126" s="551">
        <v>44507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75182</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18663</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3775</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22438</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1400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8977</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126338</v>
      </c>
      <c r="G151" s="467"/>
      <c r="H151" s="468"/>
      <c r="I151" s="468"/>
      <c r="J151" s="468"/>
      <c r="K151" s="468"/>
    </row>
    <row r="152" spans="1:11" ht="12.75" customHeight="1" x14ac:dyDescent="0.2">
      <c r="A152" s="463" t="s">
        <v>1117</v>
      </c>
      <c r="B152" s="562">
        <v>3510</v>
      </c>
      <c r="C152" s="551"/>
      <c r="D152" s="466"/>
      <c r="E152" s="561"/>
      <c r="F152" s="466">
        <v>49907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176245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109497</v>
      </c>
      <c r="D172" s="1744">
        <f t="shared" si="6"/>
        <v>0</v>
      </c>
      <c r="E172" s="1744">
        <f t="shared" si="6"/>
        <v>0</v>
      </c>
      <c r="F172" s="1744">
        <f t="shared" si="6"/>
        <v>176245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718982</v>
      </c>
      <c r="D173" s="1737">
        <f>SUM(D121,D172)</f>
        <v>0</v>
      </c>
      <c r="E173" s="1737">
        <f>SUM(E121,E172)</f>
        <v>0</v>
      </c>
      <c r="F173" s="1737">
        <f t="shared" ref="F173:K173" si="7">SUM(F121,F172)</f>
        <v>176245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80710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19449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100159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84868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84868</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30431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3114</v>
      </c>
      <c r="D270" s="576"/>
      <c r="E270" s="468"/>
      <c r="F270" s="576"/>
      <c r="G270" s="576"/>
      <c r="H270" s="468"/>
      <c r="I270" s="468"/>
      <c r="J270" s="468"/>
      <c r="K270" s="468"/>
    </row>
    <row r="271" spans="1:11" ht="12.75" customHeight="1" thickTop="1" thickBot="1" x14ac:dyDescent="0.25">
      <c r="A271" s="463" t="s">
        <v>395</v>
      </c>
      <c r="B271" s="470">
        <v>4992</v>
      </c>
      <c r="C271" s="575">
        <v>14946</v>
      </c>
      <c r="D271" s="576"/>
      <c r="E271" s="468"/>
      <c r="F271" s="576"/>
      <c r="G271" s="576"/>
      <c r="H271" s="468"/>
      <c r="I271" s="468"/>
      <c r="J271" s="468"/>
      <c r="K271" s="468"/>
    </row>
    <row r="272" spans="1:11" s="594" customFormat="1" ht="12.75" customHeight="1" thickTop="1" thickBot="1" x14ac:dyDescent="0.25">
      <c r="A272" s="563" t="s">
        <v>77</v>
      </c>
      <c r="B272" s="557">
        <v>4999</v>
      </c>
      <c r="C272" s="575">
        <v>6238</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239756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239756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3290336</v>
      </c>
      <c r="D275" s="1737">
        <f t="shared" si="12"/>
        <v>555092</v>
      </c>
      <c r="E275" s="1737">
        <f t="shared" si="12"/>
        <v>796005</v>
      </c>
      <c r="F275" s="1737">
        <f t="shared" si="12"/>
        <v>400477</v>
      </c>
      <c r="G275" s="1737">
        <f t="shared" si="12"/>
        <v>287969</v>
      </c>
      <c r="H275" s="1737">
        <f t="shared" si="12"/>
        <v>317258</v>
      </c>
      <c r="I275" s="1737">
        <f t="shared" si="12"/>
        <v>48165</v>
      </c>
      <c r="J275" s="1737">
        <f t="shared" si="12"/>
        <v>633478</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1461346</v>
      </c>
      <c r="D5" s="466">
        <v>155215</v>
      </c>
      <c r="E5" s="466">
        <v>45868</v>
      </c>
      <c r="F5" s="466">
        <v>99371</v>
      </c>
      <c r="G5" s="466">
        <v>3605</v>
      </c>
      <c r="H5" s="466">
        <v>2760</v>
      </c>
      <c r="I5" s="467">
        <v>1039</v>
      </c>
      <c r="J5" s="467"/>
      <c r="K5" s="1693">
        <f>SUM(C5:J5)</f>
        <v>1769204</v>
      </c>
      <c r="L5" s="466">
        <v>1773857</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249453</v>
      </c>
      <c r="D8" s="466">
        <v>25987</v>
      </c>
      <c r="E8" s="466">
        <v>24715</v>
      </c>
      <c r="F8" s="466">
        <v>3462</v>
      </c>
      <c r="G8" s="466"/>
      <c r="H8" s="466"/>
      <c r="I8" s="467"/>
      <c r="J8" s="467"/>
      <c r="K8" s="1693">
        <f t="shared" si="0"/>
        <v>303617</v>
      </c>
      <c r="L8" s="466">
        <v>288345</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46723</v>
      </c>
      <c r="D10" s="466">
        <v>12315</v>
      </c>
      <c r="E10" s="466"/>
      <c r="F10" s="466">
        <v>6253</v>
      </c>
      <c r="G10" s="466"/>
      <c r="H10" s="466"/>
      <c r="I10" s="467"/>
      <c r="J10" s="467"/>
      <c r="K10" s="1693">
        <f t="shared" si="0"/>
        <v>65291</v>
      </c>
      <c r="L10" s="466">
        <v>74400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51323</v>
      </c>
      <c r="D14" s="466">
        <v>341</v>
      </c>
      <c r="E14" s="466">
        <v>48257</v>
      </c>
      <c r="F14" s="466">
        <v>31179</v>
      </c>
      <c r="G14" s="466">
        <v>2513</v>
      </c>
      <c r="H14" s="466"/>
      <c r="I14" s="467"/>
      <c r="J14" s="467"/>
      <c r="K14" s="1693">
        <f t="shared" si="0"/>
        <v>133613</v>
      </c>
      <c r="L14" s="466">
        <v>132450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27440</v>
      </c>
      <c r="D17" s="467">
        <v>3275</v>
      </c>
      <c r="E17" s="467">
        <v>1016</v>
      </c>
      <c r="F17" s="467"/>
      <c r="G17" s="467"/>
      <c r="H17" s="467"/>
      <c r="I17" s="467"/>
      <c r="J17" s="467"/>
      <c r="K17" s="1693">
        <f t="shared" si="0"/>
        <v>31731</v>
      </c>
      <c r="L17" s="466">
        <v>24750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2682</v>
      </c>
      <c r="I22" s="617"/>
      <c r="J22" s="477"/>
      <c r="K22" s="1693">
        <f t="shared" si="0"/>
        <v>2682</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1836285</v>
      </c>
      <c r="D33" s="1692">
        <f t="shared" ref="D33:L33" si="1">SUM(D5:D32)</f>
        <v>197133</v>
      </c>
      <c r="E33" s="1692">
        <f t="shared" si="1"/>
        <v>119856</v>
      </c>
      <c r="F33" s="1692">
        <f t="shared" si="1"/>
        <v>140265</v>
      </c>
      <c r="G33" s="1692">
        <f t="shared" si="1"/>
        <v>6118</v>
      </c>
      <c r="H33" s="1692">
        <f t="shared" si="1"/>
        <v>5442</v>
      </c>
      <c r="I33" s="1692">
        <f t="shared" si="1"/>
        <v>1039</v>
      </c>
      <c r="J33" s="1692">
        <f t="shared" si="1"/>
        <v>0</v>
      </c>
      <c r="K33" s="1692">
        <f t="shared" si="1"/>
        <v>2306138</v>
      </c>
      <c r="L33" s="1692">
        <f t="shared" si="1"/>
        <v>2293802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53863</v>
      </c>
      <c r="D37" s="466">
        <v>6334</v>
      </c>
      <c r="E37" s="466">
        <v>2650</v>
      </c>
      <c r="F37" s="466">
        <v>2249</v>
      </c>
      <c r="G37" s="466"/>
      <c r="H37" s="466"/>
      <c r="I37" s="467"/>
      <c r="J37" s="467"/>
      <c r="K37" s="1693">
        <f t="shared" si="2"/>
        <v>65096</v>
      </c>
      <c r="L37" s="466">
        <v>63900</v>
      </c>
    </row>
    <row r="38" spans="1:14" x14ac:dyDescent="0.2">
      <c r="A38" s="1526" t="s">
        <v>207</v>
      </c>
      <c r="B38" s="615">
        <v>2130</v>
      </c>
      <c r="C38" s="466">
        <v>19211</v>
      </c>
      <c r="D38" s="466">
        <v>2935</v>
      </c>
      <c r="E38" s="466">
        <v>482</v>
      </c>
      <c r="F38" s="466">
        <v>1069</v>
      </c>
      <c r="G38" s="466"/>
      <c r="H38" s="466"/>
      <c r="I38" s="467"/>
      <c r="J38" s="467"/>
      <c r="K38" s="1693">
        <f t="shared" si="2"/>
        <v>23697</v>
      </c>
      <c r="L38" s="466">
        <v>23400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v>77223</v>
      </c>
      <c r="F40" s="466">
        <v>866</v>
      </c>
      <c r="G40" s="466"/>
      <c r="H40" s="466"/>
      <c r="I40" s="467"/>
      <c r="J40" s="467"/>
      <c r="K40" s="1693">
        <f t="shared" si="2"/>
        <v>78089</v>
      </c>
      <c r="L40" s="466">
        <v>85000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73074</v>
      </c>
      <c r="D42" s="1692">
        <f t="shared" ref="D42:L42" si="3">SUM(D36:D41)</f>
        <v>9269</v>
      </c>
      <c r="E42" s="1692">
        <f t="shared" si="3"/>
        <v>80355</v>
      </c>
      <c r="F42" s="1692">
        <f t="shared" si="3"/>
        <v>4184</v>
      </c>
      <c r="G42" s="1692">
        <f t="shared" si="3"/>
        <v>0</v>
      </c>
      <c r="H42" s="1692">
        <f t="shared" si="3"/>
        <v>0</v>
      </c>
      <c r="I42" s="1692">
        <f t="shared" si="3"/>
        <v>0</v>
      </c>
      <c r="J42" s="1692">
        <f t="shared" si="3"/>
        <v>0</v>
      </c>
      <c r="K42" s="1692">
        <f t="shared" si="3"/>
        <v>166882</v>
      </c>
      <c r="L42" s="1692">
        <f t="shared" si="3"/>
        <v>172300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23027</v>
      </c>
      <c r="D44" s="481">
        <v>842</v>
      </c>
      <c r="E44" s="481">
        <v>6251</v>
      </c>
      <c r="F44" s="481"/>
      <c r="G44" s="481"/>
      <c r="H44" s="481"/>
      <c r="I44" s="467"/>
      <c r="J44" s="467"/>
      <c r="K44" s="1694">
        <f>SUM(C44:J44)</f>
        <v>30120</v>
      </c>
      <c r="L44" s="481">
        <v>9735</v>
      </c>
    </row>
    <row r="45" spans="1:14" x14ac:dyDescent="0.2">
      <c r="A45" s="1526" t="s">
        <v>869</v>
      </c>
      <c r="B45" s="615">
        <v>2220</v>
      </c>
      <c r="C45" s="466">
        <v>22253</v>
      </c>
      <c r="D45" s="466">
        <v>4902</v>
      </c>
      <c r="E45" s="466">
        <v>250</v>
      </c>
      <c r="F45" s="466">
        <v>2077</v>
      </c>
      <c r="G45" s="466"/>
      <c r="H45" s="466"/>
      <c r="I45" s="467"/>
      <c r="J45" s="467"/>
      <c r="K45" s="1694">
        <f>SUM(C45:J45)</f>
        <v>29482</v>
      </c>
      <c r="L45" s="466">
        <v>42150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45280</v>
      </c>
      <c r="D47" s="1692">
        <f t="shared" ref="D47:K47" si="4">SUM(D44:D46)</f>
        <v>5744</v>
      </c>
      <c r="E47" s="1692">
        <f t="shared" si="4"/>
        <v>6501</v>
      </c>
      <c r="F47" s="1692">
        <f t="shared" si="4"/>
        <v>2077</v>
      </c>
      <c r="G47" s="1692">
        <f t="shared" si="4"/>
        <v>0</v>
      </c>
      <c r="H47" s="1692">
        <f t="shared" si="4"/>
        <v>0</v>
      </c>
      <c r="I47" s="1692">
        <f t="shared" si="4"/>
        <v>0</v>
      </c>
      <c r="J47" s="1692">
        <f t="shared" si="4"/>
        <v>0</v>
      </c>
      <c r="K47" s="1692">
        <f t="shared" si="4"/>
        <v>59602</v>
      </c>
      <c r="L47" s="1692">
        <f>SUM(L44:L46)</f>
        <v>51885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2700</v>
      </c>
      <c r="D49" s="481"/>
      <c r="E49" s="481">
        <v>3898</v>
      </c>
      <c r="F49" s="481">
        <v>467</v>
      </c>
      <c r="G49" s="481"/>
      <c r="H49" s="481">
        <v>2977</v>
      </c>
      <c r="I49" s="467"/>
      <c r="J49" s="467"/>
      <c r="K49" s="1694">
        <f>SUM(C49:J49)</f>
        <v>10042</v>
      </c>
      <c r="L49" s="481">
        <v>19700</v>
      </c>
    </row>
    <row r="50" spans="1:14" x14ac:dyDescent="0.2">
      <c r="A50" s="1526" t="s">
        <v>872</v>
      </c>
      <c r="B50" s="615">
        <v>2320</v>
      </c>
      <c r="C50" s="466">
        <v>96836</v>
      </c>
      <c r="D50" s="466">
        <v>18948</v>
      </c>
      <c r="E50" s="466">
        <v>4145</v>
      </c>
      <c r="F50" s="466"/>
      <c r="G50" s="466"/>
      <c r="H50" s="466">
        <v>887</v>
      </c>
      <c r="I50" s="467"/>
      <c r="J50" s="467"/>
      <c r="K50" s="1694">
        <f>SUM(C50:J50)</f>
        <v>120816</v>
      </c>
      <c r="L50" s="466">
        <v>126800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99536</v>
      </c>
      <c r="D53" s="1692">
        <f t="shared" ref="D53:L53" si="5">SUM(D49:D52)</f>
        <v>18948</v>
      </c>
      <c r="E53" s="1692">
        <f t="shared" si="5"/>
        <v>8043</v>
      </c>
      <c r="F53" s="1692">
        <f t="shared" si="5"/>
        <v>467</v>
      </c>
      <c r="G53" s="1692">
        <f t="shared" si="5"/>
        <v>0</v>
      </c>
      <c r="H53" s="1692">
        <f t="shared" si="5"/>
        <v>3864</v>
      </c>
      <c r="I53" s="1692">
        <f t="shared" si="5"/>
        <v>0</v>
      </c>
      <c r="J53" s="1692">
        <f t="shared" si="5"/>
        <v>0</v>
      </c>
      <c r="K53" s="1692">
        <f t="shared" si="5"/>
        <v>130858</v>
      </c>
      <c r="L53" s="1692">
        <f t="shared" si="5"/>
        <v>146500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193261</v>
      </c>
      <c r="D55" s="481">
        <v>25965</v>
      </c>
      <c r="E55" s="481">
        <v>7487</v>
      </c>
      <c r="F55" s="481">
        <v>8379</v>
      </c>
      <c r="G55" s="481"/>
      <c r="H55" s="481">
        <v>385</v>
      </c>
      <c r="I55" s="467"/>
      <c r="J55" s="467"/>
      <c r="K55" s="1694">
        <f>SUM(C55:J55)</f>
        <v>235477</v>
      </c>
      <c r="L55" s="481">
        <v>240150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193261</v>
      </c>
      <c r="D57" s="1696">
        <f t="shared" ref="D57:K57" si="6">SUM(D55:D56)</f>
        <v>25965</v>
      </c>
      <c r="E57" s="1696">
        <f t="shared" si="6"/>
        <v>7487</v>
      </c>
      <c r="F57" s="1696">
        <f t="shared" si="6"/>
        <v>8379</v>
      </c>
      <c r="G57" s="1696">
        <f t="shared" si="6"/>
        <v>0</v>
      </c>
      <c r="H57" s="1696">
        <f t="shared" si="6"/>
        <v>385</v>
      </c>
      <c r="I57" s="1696">
        <f t="shared" si="6"/>
        <v>0</v>
      </c>
      <c r="J57" s="1696">
        <f t="shared" si="6"/>
        <v>0</v>
      </c>
      <c r="K57" s="1696">
        <f t="shared" si="6"/>
        <v>235477</v>
      </c>
      <c r="L57" s="1692">
        <f>SUM(L55:L56)</f>
        <v>240150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54187</v>
      </c>
      <c r="D60" s="466">
        <v>6412</v>
      </c>
      <c r="E60" s="466">
        <v>11455</v>
      </c>
      <c r="F60" s="466">
        <v>2547</v>
      </c>
      <c r="G60" s="466"/>
      <c r="H60" s="466">
        <v>200</v>
      </c>
      <c r="I60" s="467"/>
      <c r="J60" s="467"/>
      <c r="K60" s="1694">
        <f t="shared" si="7"/>
        <v>74801</v>
      </c>
      <c r="L60" s="466">
        <v>81950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66263</v>
      </c>
      <c r="D63" s="466">
        <v>13392</v>
      </c>
      <c r="E63" s="466">
        <v>4788</v>
      </c>
      <c r="F63" s="466">
        <v>75186</v>
      </c>
      <c r="G63" s="466"/>
      <c r="H63" s="466"/>
      <c r="I63" s="467">
        <v>1990</v>
      </c>
      <c r="J63" s="467"/>
      <c r="K63" s="1694">
        <f t="shared" si="7"/>
        <v>161619</v>
      </c>
      <c r="L63" s="466">
        <v>165800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120450</v>
      </c>
      <c r="D65" s="1692">
        <f t="shared" ref="D65:L65" si="8">SUM(D59:D64)</f>
        <v>19804</v>
      </c>
      <c r="E65" s="1692">
        <f t="shared" si="8"/>
        <v>16243</v>
      </c>
      <c r="F65" s="1692">
        <f t="shared" si="8"/>
        <v>77733</v>
      </c>
      <c r="G65" s="1692">
        <f t="shared" si="8"/>
        <v>0</v>
      </c>
      <c r="H65" s="1692">
        <f t="shared" si="8"/>
        <v>200</v>
      </c>
      <c r="I65" s="1692">
        <f t="shared" si="8"/>
        <v>1990</v>
      </c>
      <c r="J65" s="1692">
        <f t="shared" si="8"/>
        <v>0</v>
      </c>
      <c r="K65" s="1692">
        <f t="shared" si="8"/>
        <v>236420</v>
      </c>
      <c r="L65" s="1692">
        <f t="shared" si="8"/>
        <v>247750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v>1701</v>
      </c>
      <c r="F69" s="466"/>
      <c r="G69" s="466"/>
      <c r="H69" s="466"/>
      <c r="I69" s="467"/>
      <c r="J69" s="467"/>
      <c r="K69" s="1694">
        <f>SUM(C69:J69)</f>
        <v>1701</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1701</v>
      </c>
      <c r="F72" s="1692">
        <f t="shared" si="9"/>
        <v>0</v>
      </c>
      <c r="G72" s="1692">
        <f t="shared" si="9"/>
        <v>0</v>
      </c>
      <c r="H72" s="1692">
        <f t="shared" si="9"/>
        <v>0</v>
      </c>
      <c r="I72" s="1692">
        <f t="shared" si="9"/>
        <v>0</v>
      </c>
      <c r="J72" s="1692">
        <f t="shared" si="9"/>
        <v>0</v>
      </c>
      <c r="K72" s="1692">
        <f t="shared" si="9"/>
        <v>1701</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531601</v>
      </c>
      <c r="D74" s="1699">
        <f t="shared" ref="D74:K74" si="10">SUM(D42,D47,D53,D57,D65,D72,D73)</f>
        <v>79730</v>
      </c>
      <c r="E74" s="1699">
        <f t="shared" si="10"/>
        <v>120330</v>
      </c>
      <c r="F74" s="1699">
        <f t="shared" si="10"/>
        <v>92840</v>
      </c>
      <c r="G74" s="1699">
        <f t="shared" si="10"/>
        <v>0</v>
      </c>
      <c r="H74" s="1699">
        <f t="shared" si="10"/>
        <v>4449</v>
      </c>
      <c r="I74" s="1699">
        <f t="shared" si="10"/>
        <v>1990</v>
      </c>
      <c r="J74" s="1699">
        <f t="shared" si="10"/>
        <v>0</v>
      </c>
      <c r="K74" s="1699">
        <f t="shared" si="10"/>
        <v>830940</v>
      </c>
      <c r="L74" s="1699">
        <f>SUM(L42,L47,L53,L57,L65,L72,L73)</f>
        <v>858585</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33161</v>
      </c>
      <c r="I86" s="477"/>
      <c r="J86" s="477"/>
      <c r="K86" s="1699">
        <f t="shared" ref="K86:K98" si="12">H86</f>
        <v>33161</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18532</v>
      </c>
      <c r="I88" s="477"/>
      <c r="J88" s="477"/>
      <c r="K88" s="1699">
        <f t="shared" si="12"/>
        <v>18532</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v>48000</v>
      </c>
    </row>
    <row r="92" spans="1:12" ht="14.25" thickTop="1" thickBot="1" x14ac:dyDescent="0.25">
      <c r="A92" s="1702" t="s">
        <v>1641</v>
      </c>
      <c r="B92" s="1700">
        <v>4200</v>
      </c>
      <c r="C92" s="617"/>
      <c r="D92" s="617"/>
      <c r="E92" s="639"/>
      <c r="F92" s="617"/>
      <c r="G92" s="617"/>
      <c r="H92" s="1692">
        <f>SUM(H85:H91)</f>
        <v>51693</v>
      </c>
      <c r="I92" s="477"/>
      <c r="J92" s="477"/>
      <c r="K92" s="1699">
        <f t="shared" si="12"/>
        <v>51693</v>
      </c>
      <c r="L92" s="1692">
        <f>SUM(L85:L91)</f>
        <v>48000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51693</v>
      </c>
      <c r="I102" s="477"/>
      <c r="J102" s="477"/>
      <c r="K102" s="1699">
        <f>SUM(K84,K92,K100,K101)</f>
        <v>51693</v>
      </c>
      <c r="L102" s="1699">
        <f>SUM(L84,L92,L100,L101)</f>
        <v>48000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2367886</v>
      </c>
      <c r="D114" s="1692">
        <f t="shared" ref="D114:K114" si="13">SUM(D33,D74,D75,D102,D112,D113)</f>
        <v>276863</v>
      </c>
      <c r="E114" s="1692">
        <f t="shared" si="13"/>
        <v>240186</v>
      </c>
      <c r="F114" s="1692">
        <f t="shared" si="13"/>
        <v>233105</v>
      </c>
      <c r="G114" s="1692">
        <f t="shared" si="13"/>
        <v>6118</v>
      </c>
      <c r="H114" s="1692">
        <f>SUM(H33,H74,H75,H102,H112,H113)</f>
        <v>61584</v>
      </c>
      <c r="I114" s="1692">
        <f t="shared" si="13"/>
        <v>3029</v>
      </c>
      <c r="J114" s="1692">
        <f t="shared" si="13"/>
        <v>0</v>
      </c>
      <c r="K114" s="1692">
        <f t="shared" si="13"/>
        <v>3188771</v>
      </c>
      <c r="L114" s="1692">
        <f>SUM(L33,L74,L75,L102,L112,L113)</f>
        <v>3200387</v>
      </c>
    </row>
    <row r="115" spans="1:14" ht="13.5" thickTop="1" x14ac:dyDescent="0.2">
      <c r="A115" s="2174" t="s">
        <v>1053</v>
      </c>
      <c r="B115" s="2175"/>
      <c r="C115" s="619"/>
      <c r="D115" s="619"/>
      <c r="E115" s="619"/>
      <c r="F115" s="619"/>
      <c r="G115" s="619"/>
      <c r="H115" s="619"/>
      <c r="I115" s="619"/>
      <c r="J115" s="619"/>
      <c r="K115" s="1706">
        <f>'Revenues 9-14'!C275-'Expenditures 15-22'!K114</f>
        <v>101565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233440</v>
      </c>
      <c r="D124" s="466">
        <v>19689</v>
      </c>
      <c r="E124" s="466">
        <v>78949</v>
      </c>
      <c r="F124" s="466">
        <v>162150</v>
      </c>
      <c r="G124" s="466">
        <v>16423</v>
      </c>
      <c r="H124" s="466"/>
      <c r="I124" s="467">
        <v>1500</v>
      </c>
      <c r="J124" s="467"/>
      <c r="K124" s="1692">
        <f>SUM(C124:J124)</f>
        <v>512151</v>
      </c>
      <c r="L124" s="466">
        <v>478000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233440</v>
      </c>
      <c r="D127" s="1692">
        <f t="shared" ref="D127:L127" si="14">SUM(D122:D126)</f>
        <v>19689</v>
      </c>
      <c r="E127" s="1692">
        <f t="shared" si="14"/>
        <v>78949</v>
      </c>
      <c r="F127" s="1692">
        <f t="shared" si="14"/>
        <v>162150</v>
      </c>
      <c r="G127" s="1692">
        <f t="shared" si="14"/>
        <v>16423</v>
      </c>
      <c r="H127" s="1692">
        <f t="shared" si="14"/>
        <v>0</v>
      </c>
      <c r="I127" s="1692">
        <f t="shared" si="14"/>
        <v>1500</v>
      </c>
      <c r="J127" s="1692">
        <f t="shared" si="14"/>
        <v>0</v>
      </c>
      <c r="K127" s="1692">
        <f t="shared" si="14"/>
        <v>512151</v>
      </c>
      <c r="L127" s="1692">
        <f t="shared" si="14"/>
        <v>478000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233440</v>
      </c>
      <c r="D129" s="1699">
        <f t="shared" ref="D129:L129" si="15">SUM(D120,D127,D128)</f>
        <v>19689</v>
      </c>
      <c r="E129" s="1699">
        <f t="shared" si="15"/>
        <v>78949</v>
      </c>
      <c r="F129" s="1699">
        <f t="shared" si="15"/>
        <v>162150</v>
      </c>
      <c r="G129" s="1699">
        <f t="shared" si="15"/>
        <v>16423</v>
      </c>
      <c r="H129" s="1699">
        <f t="shared" si="15"/>
        <v>0</v>
      </c>
      <c r="I129" s="1699">
        <f t="shared" si="15"/>
        <v>1500</v>
      </c>
      <c r="J129" s="1699">
        <f t="shared" si="15"/>
        <v>0</v>
      </c>
      <c r="K129" s="1699">
        <f t="shared" si="15"/>
        <v>512151</v>
      </c>
      <c r="L129" s="1699">
        <f t="shared" si="15"/>
        <v>478000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233440</v>
      </c>
      <c r="D151" s="1692">
        <f t="shared" ref="D151:K151" si="16">SUM(D129,D130,D139,D149,D150)</f>
        <v>19689</v>
      </c>
      <c r="E151" s="1692">
        <f t="shared" si="16"/>
        <v>78949</v>
      </c>
      <c r="F151" s="1692">
        <f t="shared" si="16"/>
        <v>162150</v>
      </c>
      <c r="G151" s="1692">
        <f t="shared" si="16"/>
        <v>16423</v>
      </c>
      <c r="H151" s="1692">
        <f t="shared" si="16"/>
        <v>0</v>
      </c>
      <c r="I151" s="1692">
        <f t="shared" si="16"/>
        <v>1500</v>
      </c>
      <c r="J151" s="1692">
        <f t="shared" si="16"/>
        <v>0</v>
      </c>
      <c r="K151" s="1692">
        <f t="shared" si="16"/>
        <v>512151</v>
      </c>
      <c r="L151" s="1692">
        <f>SUM(L129,L130,L139,L149,L150)</f>
        <v>478000</v>
      </c>
    </row>
    <row r="152" spans="1:14" ht="12.75" customHeight="1" thickTop="1" x14ac:dyDescent="0.2">
      <c r="A152" s="2194" t="s">
        <v>1240</v>
      </c>
      <c r="B152" s="2195"/>
      <c r="C152" s="619"/>
      <c r="D152" s="619"/>
      <c r="E152" s="619"/>
      <c r="F152" s="619"/>
      <c r="G152" s="619"/>
      <c r="H152" s="619"/>
      <c r="I152" s="619"/>
      <c r="J152" s="617"/>
      <c r="K152" s="1706">
        <f>'Revenues 9-14'!D275-'Expenditures 15-22'!K151</f>
        <v>42941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104634</v>
      </c>
      <c r="I169" s="617"/>
      <c r="J169" s="617"/>
      <c r="K169" s="1693">
        <f>SUM(C169:H169)</f>
        <v>104634</v>
      </c>
      <c r="L169" s="657"/>
    </row>
    <row r="170" spans="1:14" ht="33.75" customHeight="1" x14ac:dyDescent="0.2">
      <c r="A170" s="670" t="s">
        <v>1769</v>
      </c>
      <c r="B170" s="672" t="s">
        <v>31</v>
      </c>
      <c r="C170" s="617"/>
      <c r="D170" s="617"/>
      <c r="E170" s="617"/>
      <c r="F170" s="617"/>
      <c r="G170" s="617"/>
      <c r="H170" s="569">
        <v>735000</v>
      </c>
      <c r="I170" s="617"/>
      <c r="J170" s="617"/>
      <c r="K170" s="1693">
        <f>SUM(C170:J170)</f>
        <v>735000</v>
      </c>
      <c r="L170" s="569"/>
    </row>
    <row r="171" spans="1:14" ht="15.75" customHeight="1" x14ac:dyDescent="0.2">
      <c r="A171" s="622" t="s">
        <v>790</v>
      </c>
      <c r="B171" s="673" t="s">
        <v>86</v>
      </c>
      <c r="C171" s="617"/>
      <c r="D171" s="617"/>
      <c r="E171" s="466"/>
      <c r="F171" s="617"/>
      <c r="G171" s="617"/>
      <c r="H171" s="569">
        <v>1500</v>
      </c>
      <c r="I171" s="477"/>
      <c r="J171" s="617"/>
      <c r="K171" s="1693">
        <f>SUM(C171:J171)</f>
        <v>1500</v>
      </c>
      <c r="L171" s="569"/>
    </row>
    <row r="172" spans="1:14" ht="12.75" customHeight="1" thickBot="1" x14ac:dyDescent="0.25">
      <c r="A172" s="1690" t="s">
        <v>659</v>
      </c>
      <c r="B172" s="1691" t="s">
        <v>513</v>
      </c>
      <c r="C172" s="617"/>
      <c r="D172" s="617"/>
      <c r="E172" s="1699">
        <f>SUM(E168,E169,E170,E171)</f>
        <v>0</v>
      </c>
      <c r="F172" s="617"/>
      <c r="G172" s="617"/>
      <c r="H172" s="1699">
        <f>SUM(H168,H169,H170,H171)</f>
        <v>841134</v>
      </c>
      <c r="I172" s="639"/>
      <c r="J172" s="617"/>
      <c r="K172" s="1699">
        <f>SUM(K168,K169,K170,K171)</f>
        <v>841134</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841134</v>
      </c>
      <c r="I174" s="639"/>
      <c r="J174" s="617"/>
      <c r="K174" s="1699">
        <f>SUM(K160,K172,K173)</f>
        <v>841134</v>
      </c>
      <c r="L174" s="1699">
        <f>SUM(L160,L172,L173)</f>
        <v>0</v>
      </c>
    </row>
    <row r="175" spans="1:14" ht="13.5" thickTop="1" x14ac:dyDescent="0.2">
      <c r="A175" s="2174" t="s">
        <v>1053</v>
      </c>
      <c r="B175" s="2175"/>
      <c r="C175" s="617"/>
      <c r="D175" s="617"/>
      <c r="E175" s="617"/>
      <c r="F175" s="617"/>
      <c r="G175" s="617"/>
      <c r="H175" s="619"/>
      <c r="I175" s="617"/>
      <c r="J175" s="617"/>
      <c r="K175" s="1706">
        <f>'Revenues 9-14'!E275-'Expenditures 15-22'!K174</f>
        <v>-45129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151055</v>
      </c>
      <c r="D182" s="466">
        <v>24199</v>
      </c>
      <c r="E182" s="466">
        <v>149023</v>
      </c>
      <c r="F182" s="466">
        <v>60325</v>
      </c>
      <c r="G182" s="466"/>
      <c r="H182" s="466">
        <v>1009</v>
      </c>
      <c r="I182" s="467"/>
      <c r="J182" s="467"/>
      <c r="K182" s="1693">
        <f>SUM(C182:J182)</f>
        <v>385611</v>
      </c>
      <c r="L182" s="466">
        <v>378400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151055</v>
      </c>
      <c r="D184" s="1699">
        <f t="shared" ref="D184:J184" si="17">SUM(D180,D182,D183)</f>
        <v>24199</v>
      </c>
      <c r="E184" s="1699">
        <f t="shared" si="17"/>
        <v>149023</v>
      </c>
      <c r="F184" s="1699">
        <f t="shared" si="17"/>
        <v>60325</v>
      </c>
      <c r="G184" s="1699">
        <f t="shared" si="17"/>
        <v>0</v>
      </c>
      <c r="H184" s="1699">
        <f t="shared" si="17"/>
        <v>1009</v>
      </c>
      <c r="I184" s="1699">
        <f t="shared" si="17"/>
        <v>0</v>
      </c>
      <c r="J184" s="1699">
        <f t="shared" si="17"/>
        <v>0</v>
      </c>
      <c r="K184" s="1699">
        <f>SUM(K180,K182,K183)</f>
        <v>385611</v>
      </c>
      <c r="L184" s="1699">
        <f>SUM(L180, L182:L183)</f>
        <v>378400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151055</v>
      </c>
      <c r="D210" s="1692">
        <f>SUM(D184,D185)</f>
        <v>24199</v>
      </c>
      <c r="E210" s="1692">
        <f>SUM(E184,E185,E196)</f>
        <v>149023</v>
      </c>
      <c r="F210" s="1692">
        <f>SUM(F184,F185)</f>
        <v>60325</v>
      </c>
      <c r="G210" s="1692">
        <f>SUM(G184,G185)</f>
        <v>0</v>
      </c>
      <c r="H210" s="1692">
        <f>SUM(H184,H185,H196,H208,H209)</f>
        <v>1009</v>
      </c>
      <c r="I210" s="1692">
        <f>SUM(I184,I185)</f>
        <v>0</v>
      </c>
      <c r="J210" s="1692">
        <f>SUM(J184,J185)</f>
        <v>0</v>
      </c>
      <c r="K210" s="1693">
        <f>SUM(K184,K185,K196,K208,K209)</f>
        <v>385611</v>
      </c>
      <c r="L210" s="1692">
        <f>SUM(L184,L185,L196,L208,L209)</f>
        <v>378400</v>
      </c>
    </row>
    <row r="211" spans="1:14" ht="13.5" thickTop="1" x14ac:dyDescent="0.2">
      <c r="A211" s="2174" t="s">
        <v>1053</v>
      </c>
      <c r="B211" s="2175"/>
      <c r="C211" s="619"/>
      <c r="D211" s="619"/>
      <c r="E211" s="619"/>
      <c r="F211" s="619"/>
      <c r="G211" s="619"/>
      <c r="H211" s="619"/>
      <c r="I211" s="617"/>
      <c r="J211" s="617"/>
      <c r="K211" s="1706">
        <f>'Revenues 9-14'!F275-'Expenditures 15-22'!K210</f>
        <v>14866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22828</v>
      </c>
      <c r="E215" s="617"/>
      <c r="F215" s="617"/>
      <c r="G215" s="617"/>
      <c r="H215" s="617"/>
      <c r="I215" s="617"/>
      <c r="J215" s="617"/>
      <c r="K215" s="1693">
        <f>D215</f>
        <v>22828</v>
      </c>
      <c r="L215" s="466">
        <v>22567</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9977</v>
      </c>
      <c r="E217" s="617"/>
      <c r="F217" s="617"/>
      <c r="G217" s="617"/>
      <c r="H217" s="617"/>
      <c r="I217" s="617"/>
      <c r="J217" s="617"/>
      <c r="K217" s="1693">
        <f t="shared" si="19"/>
        <v>9977</v>
      </c>
      <c r="L217" s="466">
        <v>13700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813</v>
      </c>
      <c r="E219" s="617"/>
      <c r="F219" s="617"/>
      <c r="G219" s="617"/>
      <c r="H219" s="617"/>
      <c r="I219" s="617"/>
      <c r="J219" s="617"/>
      <c r="K219" s="1693">
        <f t="shared" si="19"/>
        <v>813</v>
      </c>
      <c r="L219" s="466">
        <v>4350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3158</v>
      </c>
      <c r="E223" s="617"/>
      <c r="F223" s="617"/>
      <c r="G223" s="617"/>
      <c r="H223" s="617"/>
      <c r="I223" s="617"/>
      <c r="J223" s="617"/>
      <c r="K223" s="1693">
        <f t="shared" si="19"/>
        <v>3158</v>
      </c>
      <c r="L223" s="466">
        <v>3200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393</v>
      </c>
      <c r="E226" s="617"/>
      <c r="F226" s="617"/>
      <c r="G226" s="617"/>
      <c r="H226" s="617"/>
      <c r="I226" s="617"/>
      <c r="J226" s="617"/>
      <c r="K226" s="1693">
        <f t="shared" si="19"/>
        <v>393</v>
      </c>
      <c r="L226" s="466">
        <v>290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37169</v>
      </c>
      <c r="E229" s="617"/>
      <c r="F229" s="617"/>
      <c r="G229" s="617"/>
      <c r="H229" s="617"/>
      <c r="I229" s="617"/>
      <c r="J229" s="617"/>
      <c r="K229" s="1692">
        <f>SUM(K215:K228)</f>
        <v>37169</v>
      </c>
      <c r="L229" s="1692">
        <f>SUM(L215:L228)</f>
        <v>44107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653</v>
      </c>
      <c r="E233" s="617"/>
      <c r="F233" s="617"/>
      <c r="G233" s="617"/>
      <c r="H233" s="617"/>
      <c r="I233" s="617"/>
      <c r="J233" s="617"/>
      <c r="K233" s="1693">
        <f t="shared" si="20"/>
        <v>653</v>
      </c>
      <c r="L233" s="466">
        <v>798</v>
      </c>
    </row>
    <row r="234" spans="1:12" x14ac:dyDescent="0.2">
      <c r="A234" s="1526" t="s">
        <v>207</v>
      </c>
      <c r="B234" s="615">
        <v>2130</v>
      </c>
      <c r="C234" s="617"/>
      <c r="D234" s="466">
        <v>4035</v>
      </c>
      <c r="E234" s="617"/>
      <c r="F234" s="617"/>
      <c r="G234" s="617"/>
      <c r="H234" s="617"/>
      <c r="I234" s="617"/>
      <c r="J234" s="617"/>
      <c r="K234" s="1693">
        <f t="shared" si="20"/>
        <v>4035</v>
      </c>
      <c r="L234" s="466">
        <v>4034</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4688</v>
      </c>
      <c r="E238" s="617"/>
      <c r="F238" s="617"/>
      <c r="G238" s="617"/>
      <c r="H238" s="617"/>
      <c r="I238" s="617"/>
      <c r="J238" s="617"/>
      <c r="K238" s="1692">
        <f>SUM(K232:K237)</f>
        <v>4688</v>
      </c>
      <c r="L238" s="1692">
        <f>SUM(L232:L237)</f>
        <v>4832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2125</v>
      </c>
      <c r="E240" s="617"/>
      <c r="F240" s="617"/>
      <c r="G240" s="617"/>
      <c r="H240" s="617"/>
      <c r="I240" s="617"/>
      <c r="J240" s="617"/>
      <c r="K240" s="1694">
        <f>D240</f>
        <v>2125</v>
      </c>
      <c r="L240" s="481">
        <v>40</v>
      </c>
    </row>
    <row r="241" spans="1:12" x14ac:dyDescent="0.2">
      <c r="A241" s="1526" t="s">
        <v>869</v>
      </c>
      <c r="B241" s="615">
        <v>2220</v>
      </c>
      <c r="C241" s="617"/>
      <c r="D241" s="466">
        <v>2252</v>
      </c>
      <c r="E241" s="617"/>
      <c r="F241" s="617"/>
      <c r="G241" s="617"/>
      <c r="H241" s="617"/>
      <c r="I241" s="617"/>
      <c r="J241" s="617"/>
      <c r="K241" s="1694">
        <f>D241</f>
        <v>2252</v>
      </c>
      <c r="L241" s="466">
        <v>2550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4377</v>
      </c>
      <c r="E243" s="617"/>
      <c r="F243" s="617"/>
      <c r="G243" s="617"/>
      <c r="H243" s="617"/>
      <c r="I243" s="617"/>
      <c r="J243" s="617"/>
      <c r="K243" s="1692">
        <f>SUM(K240:K242)</f>
        <v>4377</v>
      </c>
      <c r="L243" s="1692">
        <f>SUM(L240:L242)</f>
        <v>2590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292</v>
      </c>
      <c r="E245" s="617"/>
      <c r="F245" s="617"/>
      <c r="G245" s="617"/>
      <c r="H245" s="617"/>
      <c r="I245" s="617"/>
      <c r="J245" s="617"/>
      <c r="K245" s="1694">
        <f>D245</f>
        <v>292</v>
      </c>
      <c r="L245" s="481"/>
    </row>
    <row r="246" spans="1:12" x14ac:dyDescent="0.2">
      <c r="A246" s="1526" t="s">
        <v>872</v>
      </c>
      <c r="B246" s="615">
        <v>2320</v>
      </c>
      <c r="C246" s="617"/>
      <c r="D246" s="466">
        <v>1404</v>
      </c>
      <c r="E246" s="617"/>
      <c r="F246" s="617"/>
      <c r="G246" s="617"/>
      <c r="H246" s="617"/>
      <c r="I246" s="617"/>
      <c r="J246" s="617"/>
      <c r="K246" s="1694">
        <f t="shared" ref="K246:K256" si="21">D246</f>
        <v>1404</v>
      </c>
      <c r="L246" s="466">
        <v>1428</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42927</v>
      </c>
      <c r="E254" s="617"/>
      <c r="F254" s="617"/>
      <c r="G254" s="617"/>
      <c r="H254" s="617"/>
      <c r="I254" s="617"/>
      <c r="J254" s="617"/>
      <c r="K254" s="1694">
        <f t="shared" si="21"/>
        <v>42927</v>
      </c>
      <c r="L254" s="466">
        <v>41200</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44623</v>
      </c>
      <c r="E257" s="617"/>
      <c r="F257" s="617"/>
      <c r="G257" s="617"/>
      <c r="H257" s="617"/>
      <c r="I257" s="617"/>
      <c r="J257" s="617"/>
      <c r="K257" s="1692">
        <f>SUM(K245:K256)</f>
        <v>44623</v>
      </c>
      <c r="L257" s="1692">
        <f>SUM(L245:L256)</f>
        <v>42628</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22832</v>
      </c>
      <c r="E259" s="617"/>
      <c r="F259" s="617"/>
      <c r="G259" s="617"/>
      <c r="H259" s="617"/>
      <c r="I259" s="617"/>
      <c r="J259" s="617"/>
      <c r="K259" s="1694">
        <f>D259</f>
        <v>22832</v>
      </c>
      <c r="L259" s="481">
        <v>24000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22832</v>
      </c>
      <c r="E261" s="617"/>
      <c r="F261" s="617"/>
      <c r="G261" s="617"/>
      <c r="H261" s="617"/>
      <c r="I261" s="617"/>
      <c r="J261" s="617"/>
      <c r="K261" s="1692">
        <f>SUM(K259:K260)</f>
        <v>22832</v>
      </c>
      <c r="L261" s="1692">
        <f>SUM(L259:L260)</f>
        <v>24000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9948</v>
      </c>
      <c r="E264" s="617"/>
      <c r="F264" s="617"/>
      <c r="G264" s="617"/>
      <c r="H264" s="617"/>
      <c r="I264" s="617"/>
      <c r="J264" s="617"/>
      <c r="K264" s="1694">
        <f t="shared" ref="K264:K269" si="22">D264</f>
        <v>9948</v>
      </c>
      <c r="L264" s="466">
        <v>12104</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48623</v>
      </c>
      <c r="E266" s="617"/>
      <c r="F266" s="617"/>
      <c r="G266" s="617"/>
      <c r="H266" s="617"/>
      <c r="I266" s="617"/>
      <c r="J266" s="617"/>
      <c r="K266" s="1694">
        <f t="shared" si="22"/>
        <v>48623</v>
      </c>
      <c r="L266" s="466">
        <v>45583</v>
      </c>
    </row>
    <row r="267" spans="1:14" x14ac:dyDescent="0.2">
      <c r="A267" s="1526" t="s">
        <v>1010</v>
      </c>
      <c r="B267" s="615">
        <v>2550</v>
      </c>
      <c r="C267" s="617"/>
      <c r="D267" s="466">
        <v>31404</v>
      </c>
      <c r="E267" s="617"/>
      <c r="F267" s="617"/>
      <c r="G267" s="617"/>
      <c r="H267" s="617"/>
      <c r="I267" s="617"/>
      <c r="J267" s="617"/>
      <c r="K267" s="1694">
        <f t="shared" si="22"/>
        <v>31404</v>
      </c>
      <c r="L267" s="466">
        <v>32344</v>
      </c>
    </row>
    <row r="268" spans="1:14" x14ac:dyDescent="0.2">
      <c r="A268" s="1526" t="s">
        <v>102</v>
      </c>
      <c r="B268" s="615">
        <v>2560</v>
      </c>
      <c r="C268" s="617"/>
      <c r="D268" s="466">
        <v>13849</v>
      </c>
      <c r="E268" s="617"/>
      <c r="F268" s="617"/>
      <c r="G268" s="617"/>
      <c r="H268" s="617"/>
      <c r="I268" s="617"/>
      <c r="J268" s="617"/>
      <c r="K268" s="1694">
        <f t="shared" si="22"/>
        <v>13849</v>
      </c>
      <c r="L268" s="466">
        <v>14177</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103824</v>
      </c>
      <c r="E270" s="617"/>
      <c r="F270" s="617"/>
      <c r="G270" s="617"/>
      <c r="H270" s="617"/>
      <c r="I270" s="617"/>
      <c r="J270" s="617"/>
      <c r="K270" s="1692">
        <f>SUM(K263:K269)</f>
        <v>103824</v>
      </c>
      <c r="L270" s="1692">
        <f>SUM(L263:L269)</f>
        <v>104208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1138</v>
      </c>
      <c r="E278" s="617"/>
      <c r="F278" s="617"/>
      <c r="G278" s="617"/>
      <c r="H278" s="617"/>
      <c r="I278" s="617"/>
      <c r="J278" s="617"/>
      <c r="K278" s="1707">
        <f>D278</f>
        <v>1138</v>
      </c>
      <c r="L278" s="657">
        <v>8500</v>
      </c>
    </row>
    <row r="279" spans="1:12" ht="12.75" customHeight="1" thickBot="1" x14ac:dyDescent="0.25">
      <c r="A279" s="1720" t="s">
        <v>865</v>
      </c>
      <c r="B279" s="1703">
        <v>2000</v>
      </c>
      <c r="C279" s="617"/>
      <c r="D279" s="1699">
        <f>SUM(D238,D243,D257,D261,D270,D277,D278)</f>
        <v>181482</v>
      </c>
      <c r="E279" s="617"/>
      <c r="F279" s="617"/>
      <c r="G279" s="617"/>
      <c r="H279" s="617"/>
      <c r="I279" s="617"/>
      <c r="J279" s="617"/>
      <c r="K279" s="1699">
        <f>SUM(K238,K243,K257,K261,K270,K277,K278)</f>
        <v>181482</v>
      </c>
      <c r="L279" s="1699">
        <f>SUM(L238,L243,L257,L261,L270,L277,L278)</f>
        <v>186758</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218651</v>
      </c>
      <c r="E295" s="617"/>
      <c r="F295" s="617"/>
      <c r="G295" s="617"/>
      <c r="H295" s="1692">
        <f>H293</f>
        <v>0</v>
      </c>
      <c r="I295" s="617"/>
      <c r="J295" s="617"/>
      <c r="K295" s="1692">
        <f>SUM(K229,K279,K280,K285,K293,K294)</f>
        <v>218651</v>
      </c>
      <c r="L295" s="1692">
        <f>SUM(L229,L279,L280,L285,L293,L294)</f>
        <v>230865</v>
      </c>
    </row>
    <row r="296" spans="1:14" ht="13.5" thickTop="1" x14ac:dyDescent="0.2">
      <c r="A296" s="2174" t="s">
        <v>1053</v>
      </c>
      <c r="B296" s="2175"/>
      <c r="C296" s="617"/>
      <c r="D296" s="619"/>
      <c r="E296" s="617"/>
      <c r="F296" s="617"/>
      <c r="G296" s="617"/>
      <c r="H296" s="688"/>
      <c r="I296" s="617"/>
      <c r="J296" s="617"/>
      <c r="K296" s="1706">
        <f>'Revenues 9-14'!G275-'Expenditures 15-22'!K295</f>
        <v>69318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46936</v>
      </c>
      <c r="F301" s="466">
        <v>12742</v>
      </c>
      <c r="G301" s="466">
        <v>212868</v>
      </c>
      <c r="H301" s="466"/>
      <c r="I301" s="467"/>
      <c r="J301" s="467"/>
      <c r="K301" s="1693">
        <f>SUM(C301:J301)</f>
        <v>272546</v>
      </c>
      <c r="L301" s="467"/>
    </row>
    <row r="302" spans="1:14" ht="13.5" customHeight="1" x14ac:dyDescent="0.2">
      <c r="A302" s="1539" t="s">
        <v>1037</v>
      </c>
      <c r="B302" s="615" t="s">
        <v>595</v>
      </c>
      <c r="C302" s="466">
        <v>4555</v>
      </c>
      <c r="D302" s="466">
        <v>585</v>
      </c>
      <c r="E302" s="466"/>
      <c r="F302" s="466"/>
      <c r="G302" s="466"/>
      <c r="H302" s="466"/>
      <c r="I302" s="467"/>
      <c r="J302" s="467"/>
      <c r="K302" s="1693">
        <f>SUM(C302:J302)</f>
        <v>5140</v>
      </c>
      <c r="L302" s="466"/>
    </row>
    <row r="303" spans="1:14" ht="12.75" customHeight="1" thickBot="1" x14ac:dyDescent="0.25">
      <c r="A303" s="1690" t="s">
        <v>865</v>
      </c>
      <c r="B303" s="1691" t="s">
        <v>590</v>
      </c>
      <c r="C303" s="1699">
        <f>SUM(C301:C302)</f>
        <v>4555</v>
      </c>
      <c r="D303" s="1699">
        <f t="shared" ref="D303:L303" si="23">SUM(D301:D302)</f>
        <v>585</v>
      </c>
      <c r="E303" s="1699">
        <f t="shared" si="23"/>
        <v>46936</v>
      </c>
      <c r="F303" s="1699">
        <f t="shared" si="23"/>
        <v>12742</v>
      </c>
      <c r="G303" s="1699">
        <f t="shared" si="23"/>
        <v>212868</v>
      </c>
      <c r="H303" s="1699">
        <f t="shared" si="23"/>
        <v>0</v>
      </c>
      <c r="I303" s="1699">
        <f t="shared" si="23"/>
        <v>0</v>
      </c>
      <c r="J303" s="1699">
        <f t="shared" si="23"/>
        <v>0</v>
      </c>
      <c r="K303" s="1699">
        <f t="shared" si="23"/>
        <v>277686</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4555</v>
      </c>
      <c r="D312" s="1692">
        <f>SUM(D303)</f>
        <v>585</v>
      </c>
      <c r="E312" s="1692">
        <f>SUM(E303,E310)</f>
        <v>46936</v>
      </c>
      <c r="F312" s="1692">
        <f>SUM(F303)</f>
        <v>12742</v>
      </c>
      <c r="G312" s="1692">
        <f>SUM(G303)</f>
        <v>212868</v>
      </c>
      <c r="H312" s="1692">
        <f>SUM(H303,H310)</f>
        <v>0</v>
      </c>
      <c r="I312" s="1692">
        <f>SUM(I303)</f>
        <v>0</v>
      </c>
      <c r="J312" s="1692">
        <f>SUM(J303)</f>
        <v>0</v>
      </c>
      <c r="K312" s="1692">
        <f>SUM(K303,K310,K311)</f>
        <v>277686</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39572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v>67421</v>
      </c>
      <c r="E320" s="467"/>
      <c r="F320" s="467"/>
      <c r="G320" s="467"/>
      <c r="H320" s="467"/>
      <c r="I320" s="467"/>
      <c r="J320" s="467"/>
      <c r="K320" s="1693">
        <f t="shared" ref="K320:K327" si="24">SUM(C320:J320)</f>
        <v>67421</v>
      </c>
      <c r="L320" s="467">
        <v>106500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63846</v>
      </c>
      <c r="F322" s="467"/>
      <c r="G322" s="467"/>
      <c r="H322" s="467"/>
      <c r="I322" s="467"/>
      <c r="J322" s="467"/>
      <c r="K322" s="1693">
        <f t="shared" si="24"/>
        <v>63846</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348082</v>
      </c>
      <c r="D325" s="467">
        <v>41670</v>
      </c>
      <c r="E325" s="467"/>
      <c r="F325" s="467">
        <v>4287</v>
      </c>
      <c r="G325" s="467">
        <v>15879</v>
      </c>
      <c r="H325" s="467"/>
      <c r="I325" s="467"/>
      <c r="J325" s="467"/>
      <c r="K325" s="1693">
        <f t="shared" si="24"/>
        <v>409918</v>
      </c>
      <c r="L325" s="467">
        <v>402250</v>
      </c>
      <c r="M325" s="666"/>
      <c r="N325" s="666"/>
    </row>
    <row r="326" spans="1:14" s="675" customFormat="1" x14ac:dyDescent="0.2">
      <c r="A326" s="1541" t="s">
        <v>1088</v>
      </c>
      <c r="B326" s="698" t="s">
        <v>306</v>
      </c>
      <c r="C326" s="467"/>
      <c r="D326" s="467"/>
      <c r="E326" s="467">
        <v>18505</v>
      </c>
      <c r="F326" s="467"/>
      <c r="G326" s="467"/>
      <c r="H326" s="467"/>
      <c r="I326" s="467"/>
      <c r="J326" s="467"/>
      <c r="K326" s="1693">
        <f t="shared" si="24"/>
        <v>18505</v>
      </c>
      <c r="L326" s="467">
        <v>30000</v>
      </c>
      <c r="M326" s="666"/>
      <c r="N326" s="666"/>
    </row>
    <row r="327" spans="1:14" s="675" customFormat="1" x14ac:dyDescent="0.2">
      <c r="A327" s="1541" t="s">
        <v>1028</v>
      </c>
      <c r="B327" s="698" t="s">
        <v>307</v>
      </c>
      <c r="C327" s="467"/>
      <c r="D327" s="467"/>
      <c r="E327" s="467">
        <v>1116</v>
      </c>
      <c r="F327" s="467"/>
      <c r="G327" s="467"/>
      <c r="H327" s="467"/>
      <c r="I327" s="467"/>
      <c r="J327" s="467"/>
      <c r="K327" s="1693">
        <f t="shared" si="24"/>
        <v>1116</v>
      </c>
      <c r="L327" s="467">
        <v>2000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348082</v>
      </c>
      <c r="D330" s="1692">
        <f t="shared" ref="D330:J330" si="25">SUM(D319:D329)</f>
        <v>109091</v>
      </c>
      <c r="E330" s="1692">
        <f t="shared" si="25"/>
        <v>83467</v>
      </c>
      <c r="F330" s="1692">
        <f t="shared" si="25"/>
        <v>4287</v>
      </c>
      <c r="G330" s="1692">
        <f t="shared" si="25"/>
        <v>15879</v>
      </c>
      <c r="H330" s="1692">
        <f t="shared" si="25"/>
        <v>0</v>
      </c>
      <c r="I330" s="1692">
        <f t="shared" si="25"/>
        <v>0</v>
      </c>
      <c r="J330" s="1692">
        <f t="shared" si="25"/>
        <v>0</v>
      </c>
      <c r="K330" s="1692">
        <f>SUM(K319:K329)</f>
        <v>560806</v>
      </c>
      <c r="L330" s="1692">
        <f>SUM(L319:L329)</f>
        <v>540750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348082</v>
      </c>
      <c r="D342" s="1692">
        <f>SUM(D330)</f>
        <v>109091</v>
      </c>
      <c r="E342" s="1692">
        <f>SUM(E330)</f>
        <v>83467</v>
      </c>
      <c r="F342" s="1692">
        <f>SUM(F330)</f>
        <v>4287</v>
      </c>
      <c r="G342" s="1692">
        <f>SUM(G330)</f>
        <v>15879</v>
      </c>
      <c r="H342" s="1692">
        <f>SUM(H330,H334,H340)</f>
        <v>0</v>
      </c>
      <c r="I342" s="1692">
        <f>SUM(I330)</f>
        <v>0</v>
      </c>
      <c r="J342" s="1692">
        <f>SUM(J330)</f>
        <v>0</v>
      </c>
      <c r="K342" s="1692">
        <f>SUM(K330,K334,K340)</f>
        <v>560806</v>
      </c>
      <c r="L342" s="1699">
        <f>SUM(L330,L340,L341)</f>
        <v>540750</v>
      </c>
    </row>
    <row r="343" spans="1:14" ht="12.75" customHeight="1" thickTop="1" x14ac:dyDescent="0.2">
      <c r="A343" s="2187" t="s">
        <v>1053</v>
      </c>
      <c r="B343" s="2188"/>
      <c r="C343" s="617"/>
      <c r="D343" s="617"/>
      <c r="E343" s="617"/>
      <c r="F343" s="617"/>
      <c r="G343" s="617"/>
      <c r="H343" s="617"/>
      <c r="I343" s="617"/>
      <c r="J343" s="617"/>
      <c r="K343" s="1706">
        <f>'Revenues 9-14'!J275-'Expenditures 15-22'!K342</f>
        <v>72672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4" t="s">
        <v>1053</v>
      </c>
      <c r="B368" s="2175"/>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2104745</v>
      </c>
      <c r="C4" s="1546">
        <v>1039773</v>
      </c>
      <c r="D4" s="1774">
        <f>B4-C4</f>
        <v>1064972</v>
      </c>
      <c r="E4" s="1546">
        <v>2139522</v>
      </c>
      <c r="F4" s="1774">
        <f>E4-C4</f>
        <v>1099749</v>
      </c>
    </row>
    <row r="5" spans="1:6" ht="13.7" customHeight="1" x14ac:dyDescent="0.2">
      <c r="A5" s="716" t="s">
        <v>925</v>
      </c>
      <c r="B5" s="1772">
        <f>'Revenues 9-14'!D5</f>
        <v>438405</v>
      </c>
      <c r="C5" s="585">
        <v>216592</v>
      </c>
      <c r="D5" s="1775">
        <f t="shared" ref="D5:D18" si="0">B5-C5</f>
        <v>221813</v>
      </c>
      <c r="E5" s="585">
        <v>445734</v>
      </c>
      <c r="F5" s="1775">
        <f>E5-C5</f>
        <v>229142</v>
      </c>
    </row>
    <row r="6" spans="1:6" ht="13.7" customHeight="1" x14ac:dyDescent="0.2">
      <c r="A6" s="716" t="s">
        <v>431</v>
      </c>
      <c r="B6" s="1772">
        <f>'Revenues 9-14'!E5</f>
        <v>795182</v>
      </c>
      <c r="C6" s="585">
        <v>387609</v>
      </c>
      <c r="D6" s="1775">
        <f t="shared" si="0"/>
        <v>407573</v>
      </c>
      <c r="E6" s="585">
        <v>797863</v>
      </c>
      <c r="F6" s="1775">
        <f t="shared" ref="F6:F18" si="1">E6-C6</f>
        <v>410254</v>
      </c>
    </row>
    <row r="7" spans="1:6" ht="13.7" customHeight="1" x14ac:dyDescent="0.2">
      <c r="A7" s="716" t="s">
        <v>157</v>
      </c>
      <c r="B7" s="1772">
        <f>'Revenues 9-14'!F5</f>
        <v>175318</v>
      </c>
      <c r="C7" s="585">
        <v>86594</v>
      </c>
      <c r="D7" s="1775">
        <f t="shared" si="0"/>
        <v>88724</v>
      </c>
      <c r="E7" s="585">
        <v>178294</v>
      </c>
      <c r="F7" s="1775">
        <f t="shared" si="1"/>
        <v>91700</v>
      </c>
    </row>
    <row r="8" spans="1:6" ht="13.7" customHeight="1" x14ac:dyDescent="0.2">
      <c r="A8" s="716" t="s">
        <v>1241</v>
      </c>
      <c r="B8" s="1772">
        <f>'Revenues 9-14'!G5</f>
        <v>142779</v>
      </c>
      <c r="C8" s="585">
        <v>67929</v>
      </c>
      <c r="D8" s="1775">
        <f t="shared" si="0"/>
        <v>74850</v>
      </c>
      <c r="E8" s="585">
        <v>139961</v>
      </c>
      <c r="F8" s="1775">
        <f t="shared" si="1"/>
        <v>72032</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43884</v>
      </c>
      <c r="C10" s="585">
        <v>21703</v>
      </c>
      <c r="D10" s="1775">
        <f t="shared" si="0"/>
        <v>22181</v>
      </c>
      <c r="E10" s="585">
        <v>44573</v>
      </c>
      <c r="F10" s="1775">
        <f t="shared" si="1"/>
        <v>22870</v>
      </c>
    </row>
    <row r="11" spans="1:6" x14ac:dyDescent="0.2">
      <c r="A11" s="716" t="s">
        <v>429</v>
      </c>
      <c r="B11" s="1772">
        <f>'Revenues 9-14'!J5</f>
        <v>630469</v>
      </c>
      <c r="C11" s="585">
        <v>243070</v>
      </c>
      <c r="D11" s="1775">
        <f t="shared" si="0"/>
        <v>387399</v>
      </c>
      <c r="E11" s="585">
        <v>500024</v>
      </c>
      <c r="F11" s="1775">
        <f t="shared" si="1"/>
        <v>256954</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44155</v>
      </c>
      <c r="C13" s="585">
        <v>21703</v>
      </c>
      <c r="D13" s="1775">
        <f t="shared" si="0"/>
        <v>22452</v>
      </c>
      <c r="E13" s="585">
        <v>44573</v>
      </c>
      <c r="F13" s="1775">
        <f t="shared" si="1"/>
        <v>22870</v>
      </c>
    </row>
    <row r="14" spans="1:6" ht="13.7" customHeight="1" x14ac:dyDescent="0.2">
      <c r="A14" s="716" t="s">
        <v>430</v>
      </c>
      <c r="B14" s="1772">
        <f>SUM('Revenues 9-14'!C7:D7,'Revenues 9-14'!F7:H7)</f>
        <v>35053</v>
      </c>
      <c r="C14" s="585">
        <v>17362</v>
      </c>
      <c r="D14" s="1775">
        <f t="shared" si="0"/>
        <v>17691</v>
      </c>
      <c r="E14" s="585">
        <v>35658</v>
      </c>
      <c r="F14" s="1775">
        <f t="shared" si="1"/>
        <v>18296</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142779</v>
      </c>
      <c r="C16" s="585">
        <v>67929</v>
      </c>
      <c r="D16" s="1775">
        <f t="shared" si="0"/>
        <v>74850</v>
      </c>
      <c r="E16" s="585">
        <v>139960</v>
      </c>
      <c r="F16" s="1775">
        <f t="shared" si="1"/>
        <v>72031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4552769</v>
      </c>
      <c r="C19" s="1773">
        <f>SUM(C4:C18)</f>
        <v>2170264</v>
      </c>
      <c r="D19" s="1773">
        <f>SUM(D4:D18)</f>
        <v>2382505</v>
      </c>
      <c r="E19" s="1773">
        <f>SUM(E4:E18)</f>
        <v>4466162</v>
      </c>
      <c r="F19" s="1773">
        <f>SUM(F4:F18)</f>
        <v>2295898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H37" sqref="H3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2036</v>
      </c>
      <c r="D2" s="724" t="s">
        <v>2043</v>
      </c>
      <c r="E2" s="724" t="s">
        <v>2044</v>
      </c>
      <c r="F2" s="1909" t="s">
        <v>2037</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2128</v>
      </c>
      <c r="B31" s="734">
        <v>39508</v>
      </c>
      <c r="C31" s="735">
        <v>4085000</v>
      </c>
      <c r="D31" s="736">
        <v>3</v>
      </c>
      <c r="E31" s="735">
        <v>2300000</v>
      </c>
      <c r="F31" s="735"/>
      <c r="G31" s="735">
        <v>-2000000</v>
      </c>
      <c r="H31" s="735">
        <v>300000</v>
      </c>
      <c r="I31" s="1778">
        <f>((E31+F31)-H31)+G31</f>
        <v>0</v>
      </c>
      <c r="J31" s="735"/>
      <c r="K31" s="737"/>
    </row>
    <row r="32" spans="1:11" ht="12" customHeight="1" x14ac:dyDescent="0.2">
      <c r="A32" s="733" t="s">
        <v>2129</v>
      </c>
      <c r="B32" s="734">
        <v>40118</v>
      </c>
      <c r="C32" s="735">
        <v>2500000</v>
      </c>
      <c r="D32" s="736">
        <v>2</v>
      </c>
      <c r="E32" s="735">
        <v>2440000</v>
      </c>
      <c r="F32" s="735"/>
      <c r="G32" s="735">
        <v>-2410000</v>
      </c>
      <c r="H32" s="735">
        <v>10000</v>
      </c>
      <c r="I32" s="1778">
        <f>((E32+F32)-H32)+G32</f>
        <v>20000</v>
      </c>
      <c r="J32" s="735">
        <v>0</v>
      </c>
      <c r="K32" s="737"/>
    </row>
    <row r="33" spans="1:11" ht="12" customHeight="1" x14ac:dyDescent="0.2">
      <c r="A33" s="733" t="s">
        <v>2130</v>
      </c>
      <c r="B33" s="734">
        <v>42429</v>
      </c>
      <c r="C33" s="735">
        <v>500000</v>
      </c>
      <c r="D33" s="736">
        <v>1</v>
      </c>
      <c r="E33" s="735">
        <v>265000</v>
      </c>
      <c r="F33" s="735"/>
      <c r="G33" s="735"/>
      <c r="H33" s="735">
        <v>265000</v>
      </c>
      <c r="I33" s="1778">
        <f t="shared" ref="I33:I48" si="1">((E33+F33)-H33)+G33</f>
        <v>0</v>
      </c>
      <c r="J33" s="735"/>
      <c r="K33" s="737"/>
    </row>
    <row r="34" spans="1:11" ht="12" customHeight="1" x14ac:dyDescent="0.2">
      <c r="A34" s="733" t="s">
        <v>2131</v>
      </c>
      <c r="B34" s="734">
        <v>41861</v>
      </c>
      <c r="C34" s="735">
        <v>385813</v>
      </c>
      <c r="D34" s="736">
        <v>7</v>
      </c>
      <c r="E34" s="735">
        <v>157056</v>
      </c>
      <c r="F34" s="735"/>
      <c r="G34" s="735"/>
      <c r="H34" s="735">
        <v>77143</v>
      </c>
      <c r="I34" s="1778">
        <f t="shared" si="1"/>
        <v>79913</v>
      </c>
      <c r="J34" s="735">
        <v>79913</v>
      </c>
      <c r="K34" s="738"/>
    </row>
    <row r="35" spans="1:11" ht="12" customHeight="1" x14ac:dyDescent="0.2">
      <c r="A35" s="733" t="s">
        <v>2130</v>
      </c>
      <c r="B35" s="734">
        <v>38899</v>
      </c>
      <c r="C35" s="739">
        <v>5035000</v>
      </c>
      <c r="D35" s="736">
        <v>3</v>
      </c>
      <c r="E35" s="739">
        <v>4975000</v>
      </c>
      <c r="F35" s="739"/>
      <c r="G35" s="739"/>
      <c r="H35" s="739">
        <v>160000</v>
      </c>
      <c r="I35" s="1778">
        <f t="shared" si="1"/>
        <v>4815000</v>
      </c>
      <c r="J35" s="739">
        <v>4520928</v>
      </c>
      <c r="K35" s="738"/>
    </row>
    <row r="36" spans="1:11" ht="12" customHeight="1" x14ac:dyDescent="0.2">
      <c r="A36" s="733" t="s">
        <v>2131</v>
      </c>
      <c r="B36" s="734">
        <v>42012</v>
      </c>
      <c r="C36" s="735">
        <v>94167</v>
      </c>
      <c r="D36" s="736">
        <v>7</v>
      </c>
      <c r="E36" s="735">
        <v>38314</v>
      </c>
      <c r="F36" s="735"/>
      <c r="G36" s="735"/>
      <c r="H36" s="735">
        <v>18809</v>
      </c>
      <c r="I36" s="1778">
        <f t="shared" si="1"/>
        <v>19505</v>
      </c>
      <c r="J36" s="735">
        <v>19505</v>
      </c>
      <c r="K36" s="740"/>
    </row>
    <row r="37" spans="1:11" ht="12" customHeight="1" x14ac:dyDescent="0.2">
      <c r="A37" s="733" t="s">
        <v>2133</v>
      </c>
      <c r="B37" s="734">
        <v>43132</v>
      </c>
      <c r="C37" s="467">
        <v>535000</v>
      </c>
      <c r="D37" s="741">
        <v>1</v>
      </c>
      <c r="E37" s="467"/>
      <c r="F37" s="467">
        <v>535000</v>
      </c>
      <c r="G37" s="467"/>
      <c r="H37" s="467"/>
      <c r="I37" s="1778">
        <f t="shared" si="1"/>
        <v>535000</v>
      </c>
      <c r="J37" s="467">
        <v>535000</v>
      </c>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13134980</v>
      </c>
      <c r="D49" s="746"/>
      <c r="E49" s="1778">
        <f t="shared" ref="E49:J49" si="2">SUM(E31:E48)</f>
        <v>10175370</v>
      </c>
      <c r="F49" s="1778">
        <f t="shared" si="2"/>
        <v>535000</v>
      </c>
      <c r="G49" s="1778">
        <f t="shared" si="2"/>
        <v>-4410000</v>
      </c>
      <c r="H49" s="1778">
        <f t="shared" si="2"/>
        <v>830952</v>
      </c>
      <c r="I49" s="1778">
        <f t="shared" si="2"/>
        <v>5469418</v>
      </c>
      <c r="J49" s="1778">
        <f t="shared" si="2"/>
        <v>5155346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t="s">
        <v>2132</v>
      </c>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v>73948</v>
      </c>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35053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315501</v>
      </c>
      <c r="K8" s="770"/>
    </row>
    <row r="9" spans="1:11" x14ac:dyDescent="0.2">
      <c r="A9" s="779" t="s">
        <v>140</v>
      </c>
      <c r="B9" s="780"/>
      <c r="C9" s="780"/>
      <c r="D9" s="780"/>
      <c r="E9" s="781"/>
      <c r="F9" s="778" t="s">
        <v>908</v>
      </c>
      <c r="G9" s="783"/>
      <c r="H9" s="772"/>
      <c r="I9" s="772"/>
      <c r="J9" s="782"/>
      <c r="K9" s="766">
        <v>8977</v>
      </c>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35053</v>
      </c>
      <c r="I12" s="1780">
        <f>SUM(I5:I11)</f>
        <v>0</v>
      </c>
      <c r="J12" s="1780">
        <f>SUM(J5:J11)</f>
        <v>315501</v>
      </c>
      <c r="K12" s="1780">
        <f>SUM(K5:K11)</f>
        <v>8977</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35053</v>
      </c>
      <c r="I14" s="772"/>
      <c r="J14" s="774"/>
      <c r="K14" s="766">
        <v>8977</v>
      </c>
    </row>
    <row r="15" spans="1:11" x14ac:dyDescent="0.2">
      <c r="A15" s="2236" t="s">
        <v>4</v>
      </c>
      <c r="B15" s="2236"/>
      <c r="C15" s="2236"/>
      <c r="D15" s="2236"/>
      <c r="E15" s="2237"/>
      <c r="F15" s="790" t="s">
        <v>910</v>
      </c>
      <c r="G15" s="772"/>
      <c r="H15" s="765"/>
      <c r="I15" s="765"/>
      <c r="J15" s="766">
        <v>212868</v>
      </c>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35053</v>
      </c>
      <c r="I23" s="1780">
        <f>SUM(I14:I16,I21,I22)</f>
        <v>0</v>
      </c>
      <c r="J23" s="1780">
        <f>SUM(J14:J16,J21,J22)</f>
        <v>212868</v>
      </c>
      <c r="K23" s="1780">
        <f>SUM(K14:K16,K21,K22)</f>
        <v>8977</v>
      </c>
    </row>
    <row r="24" spans="1:11" ht="14.25" thickTop="1" thickBot="1" x14ac:dyDescent="0.25">
      <c r="A24" s="2266" t="s">
        <v>2024</v>
      </c>
      <c r="B24" s="2265"/>
      <c r="C24" s="2265"/>
      <c r="D24" s="2265"/>
      <c r="E24" s="2265"/>
      <c r="F24" s="1784"/>
      <c r="G24" s="1785">
        <f>SUM(G3,G12)-G23</f>
        <v>0</v>
      </c>
      <c r="H24" s="1785">
        <f>SUM(H3,H12)-H23</f>
        <v>0</v>
      </c>
      <c r="I24" s="1785">
        <f>SUM(I3,I12)-I23</f>
        <v>0</v>
      </c>
      <c r="J24" s="1785">
        <f>SUM(J3,J12)-J23</f>
        <v>176581</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176581</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12" sqref="L12:L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85250</v>
      </c>
      <c r="D5" s="842"/>
      <c r="E5" s="842"/>
      <c r="F5" s="1782">
        <f>(C5+D5)-E5</f>
        <v>85250</v>
      </c>
      <c r="G5" s="838"/>
      <c r="H5" s="843"/>
      <c r="I5" s="843"/>
      <c r="J5" s="843"/>
      <c r="K5" s="794"/>
      <c r="L5" s="1791">
        <f>F5-K5</f>
        <v>85250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9441867</v>
      </c>
      <c r="D8" s="845"/>
      <c r="E8" s="845"/>
      <c r="F8" s="1782">
        <f>(C8+D8)-E8</f>
        <v>9441867</v>
      </c>
      <c r="G8" s="844">
        <v>50</v>
      </c>
      <c r="H8" s="766">
        <v>4879331</v>
      </c>
      <c r="I8" s="766">
        <v>188837</v>
      </c>
      <c r="J8" s="766"/>
      <c r="K8" s="1791">
        <f>(H8+I8)-J8</f>
        <v>5068168</v>
      </c>
      <c r="L8" s="1791">
        <f>F8-K8</f>
        <v>4373699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183484</v>
      </c>
      <c r="D10" s="847">
        <v>245170</v>
      </c>
      <c r="E10" s="847"/>
      <c r="F10" s="1786">
        <f>(C10+D10)-E10</f>
        <v>428654</v>
      </c>
      <c r="G10" s="844">
        <v>20</v>
      </c>
      <c r="H10" s="848">
        <v>118764</v>
      </c>
      <c r="I10" s="848">
        <v>21433</v>
      </c>
      <c r="J10" s="848"/>
      <c r="K10" s="1791">
        <f>(H10+I10)-J10</f>
        <v>140197</v>
      </c>
      <c r="L10" s="1791">
        <f>F10-K10</f>
        <v>288457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2155966</v>
      </c>
      <c r="D12" s="845">
        <v>6118</v>
      </c>
      <c r="E12" s="845"/>
      <c r="F12" s="1782">
        <f>(C12+D12)-E12</f>
        <v>2162084</v>
      </c>
      <c r="G12" s="844">
        <v>10</v>
      </c>
      <c r="H12" s="766">
        <v>1820441</v>
      </c>
      <c r="I12" s="766">
        <v>194750</v>
      </c>
      <c r="J12" s="766"/>
      <c r="K12" s="1791">
        <f>(H12+I12)-J12</f>
        <v>2015191</v>
      </c>
      <c r="L12" s="1791">
        <f>F12-K12</f>
        <v>146893</v>
      </c>
    </row>
    <row r="13" spans="1:14" ht="14.25" thickTop="1" thickBot="1" x14ac:dyDescent="0.25">
      <c r="A13" s="849" t="s">
        <v>1184</v>
      </c>
      <c r="B13" s="841">
        <v>252</v>
      </c>
      <c r="C13" s="845">
        <v>1810684</v>
      </c>
      <c r="D13" s="845"/>
      <c r="E13" s="845"/>
      <c r="F13" s="1782">
        <f>(C13+D13)-E13</f>
        <v>1810684</v>
      </c>
      <c r="G13" s="844">
        <v>5</v>
      </c>
      <c r="H13" s="766">
        <v>1454736</v>
      </c>
      <c r="I13" s="766">
        <v>113201</v>
      </c>
      <c r="J13" s="766"/>
      <c r="K13" s="1791">
        <f>(H13+I13)-J13</f>
        <v>1567937</v>
      </c>
      <c r="L13" s="1791">
        <f>F13-K13</f>
        <v>242747</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13677251</v>
      </c>
      <c r="D16" s="1782">
        <f>SUM(D3,D5:D6,D8:D10,D12:D15)</f>
        <v>251288</v>
      </c>
      <c r="E16" s="1782">
        <f>SUM(E3,E5:E6,E8:E10,E12:E15)</f>
        <v>0</v>
      </c>
      <c r="F16" s="1782">
        <f>SUM(F3,F5:F6,F8:F10,F12:F15)</f>
        <v>13928539</v>
      </c>
      <c r="G16" s="844"/>
      <c r="H16" s="1782">
        <f>SUM(H3,H6,H8:H10,H12:H14,)</f>
        <v>8273272</v>
      </c>
      <c r="I16" s="1782">
        <f>SUM(I3,I6,I8:I10,I12:I14,)</f>
        <v>518221</v>
      </c>
      <c r="J16" s="1782">
        <f>SUM(J3,J6,J8:J10,J12:J14,)</f>
        <v>0</v>
      </c>
      <c r="K16" s="1782">
        <f>(H16+I16)-J16</f>
        <v>8791493</v>
      </c>
      <c r="L16" s="1782">
        <f>F16-K16</f>
        <v>5137046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4529</v>
      </c>
      <c r="G17" s="838">
        <v>10</v>
      </c>
      <c r="H17" s="770"/>
      <c r="I17" s="1791">
        <f>F17/G17</f>
        <v>452.9</v>
      </c>
      <c r="J17" s="770"/>
      <c r="K17" s="796"/>
      <c r="L17" s="796"/>
    </row>
    <row r="18" spans="1:12" ht="14.25" thickTop="1" thickBot="1" x14ac:dyDescent="0.25">
      <c r="A18" s="1789" t="s">
        <v>706</v>
      </c>
      <c r="B18" s="1790"/>
      <c r="C18" s="772"/>
      <c r="D18" s="772"/>
      <c r="E18" s="772"/>
      <c r="F18" s="851"/>
      <c r="G18" s="852"/>
      <c r="H18" s="774"/>
      <c r="I18" s="1782">
        <f>SUM(I16,I17)</f>
        <v>518673.9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3188771</v>
      </c>
      <c r="G8" s="866"/>
    </row>
    <row r="9" spans="1:7" x14ac:dyDescent="0.2">
      <c r="A9" s="870" t="s">
        <v>480</v>
      </c>
      <c r="B9" s="871" t="s">
        <v>1988</v>
      </c>
      <c r="C9" s="872"/>
      <c r="D9" s="870" t="s">
        <v>522</v>
      </c>
      <c r="E9" s="869"/>
      <c r="F9" s="1935">
        <f>'Expenditures 15-22'!K151</f>
        <v>512151</v>
      </c>
      <c r="G9" s="873"/>
    </row>
    <row r="10" spans="1:7" x14ac:dyDescent="0.2">
      <c r="A10" s="870" t="s">
        <v>520</v>
      </c>
      <c r="B10" s="871" t="s">
        <v>1989</v>
      </c>
      <c r="C10" s="872"/>
      <c r="D10" s="870" t="s">
        <v>522</v>
      </c>
      <c r="E10" s="869"/>
      <c r="F10" s="1935">
        <f>'Expenditures 15-22'!K174</f>
        <v>841134</v>
      </c>
      <c r="G10" s="873"/>
    </row>
    <row r="11" spans="1:7" x14ac:dyDescent="0.2">
      <c r="A11" s="870" t="s">
        <v>481</v>
      </c>
      <c r="B11" s="871" t="s">
        <v>1990</v>
      </c>
      <c r="C11" s="872"/>
      <c r="D11" s="870" t="s">
        <v>522</v>
      </c>
      <c r="E11" s="869"/>
      <c r="F11" s="1935">
        <f>'Expenditures 15-22'!K210</f>
        <v>385611</v>
      </c>
      <c r="G11" s="873"/>
    </row>
    <row r="12" spans="1:7" x14ac:dyDescent="0.2">
      <c r="A12" s="870" t="s">
        <v>482</v>
      </c>
      <c r="B12" s="871" t="s">
        <v>1991</v>
      </c>
      <c r="C12" s="872"/>
      <c r="D12" s="870" t="s">
        <v>522</v>
      </c>
      <c r="E12" s="869"/>
      <c r="F12" s="1935">
        <f>'Expenditures 15-22'!K295</f>
        <v>218651</v>
      </c>
      <c r="G12" s="873"/>
    </row>
    <row r="13" spans="1:7" x14ac:dyDescent="0.2">
      <c r="A13" s="870" t="s">
        <v>108</v>
      </c>
      <c r="B13" s="871" t="s">
        <v>1992</v>
      </c>
      <c r="C13" s="872"/>
      <c r="D13" s="870" t="s">
        <v>522</v>
      </c>
      <c r="E13" s="869"/>
      <c r="F13" s="1935">
        <f>'Expenditures 15-22'!K342</f>
        <v>560806</v>
      </c>
      <c r="G13" s="874"/>
    </row>
    <row r="14" spans="1:7" ht="12" customHeight="1" thickBot="1" x14ac:dyDescent="0.25">
      <c r="A14" s="1792"/>
      <c r="B14" s="1793"/>
      <c r="C14" s="1794"/>
      <c r="D14" s="1795" t="s">
        <v>522</v>
      </c>
      <c r="E14" s="1796" t="s">
        <v>1015</v>
      </c>
      <c r="F14" s="1797">
        <f>SUM(F8:F13)</f>
        <v>5707124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2682</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51693</v>
      </c>
      <c r="G53" s="866"/>
    </row>
    <row r="54" spans="1:7" x14ac:dyDescent="0.2">
      <c r="A54" s="870" t="s">
        <v>479</v>
      </c>
      <c r="B54" s="870" t="s">
        <v>1552</v>
      </c>
      <c r="C54" s="890" t="s">
        <v>1039</v>
      </c>
      <c r="D54" s="886" t="s">
        <v>1157</v>
      </c>
      <c r="E54" s="869"/>
      <c r="F54" s="1939">
        <f>'Expenditures 15-22'!G114</f>
        <v>6118</v>
      </c>
      <c r="G54" s="866"/>
    </row>
    <row r="55" spans="1:7" x14ac:dyDescent="0.2">
      <c r="A55" s="870" t="s">
        <v>479</v>
      </c>
      <c r="B55" s="870" t="s">
        <v>1553</v>
      </c>
      <c r="C55" s="890" t="s">
        <v>1039</v>
      </c>
      <c r="D55" s="886" t="s">
        <v>309</v>
      </c>
      <c r="E55" s="869"/>
      <c r="F55" s="1939">
        <f>'Expenditures 15-22'!I114</f>
        <v>3029</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16423</v>
      </c>
      <c r="G58" s="866"/>
    </row>
    <row r="59" spans="1:7" x14ac:dyDescent="0.2">
      <c r="A59" s="894" t="s">
        <v>480</v>
      </c>
      <c r="B59" s="857" t="s">
        <v>1995</v>
      </c>
      <c r="C59" s="895" t="s">
        <v>1039</v>
      </c>
      <c r="D59" s="857" t="s">
        <v>309</v>
      </c>
      <c r="F59" s="1942">
        <f>'Expenditures 15-22'!I151</f>
        <v>1500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735000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816445</v>
      </c>
      <c r="G76" s="866"/>
    </row>
    <row r="77" spans="1:8" s="894" customFormat="1" ht="12" customHeight="1" thickTop="1" thickBot="1" x14ac:dyDescent="0.25">
      <c r="A77" s="1801"/>
      <c r="B77" s="1798"/>
      <c r="C77" s="1794"/>
      <c r="D77" s="1799" t="s">
        <v>2011</v>
      </c>
      <c r="E77" s="1796"/>
      <c r="F77" s="1802">
        <f>(F14-F76)</f>
        <v>4890679</v>
      </c>
      <c r="G77" s="870"/>
    </row>
    <row r="78" spans="1:8" s="894" customFormat="1" ht="12" customHeight="1" thickTop="1" x14ac:dyDescent="0.2">
      <c r="A78" s="1803"/>
      <c r="B78" s="1798"/>
      <c r="C78" s="1794"/>
      <c r="D78" s="1799" t="s">
        <v>2057</v>
      </c>
      <c r="E78" s="1796"/>
      <c r="F78" s="899">
        <v>431.09</v>
      </c>
      <c r="G78" s="900"/>
      <c r="H78" s="870"/>
    </row>
    <row r="79" spans="1:8" s="894" customFormat="1" ht="12" customHeight="1" thickBot="1" x14ac:dyDescent="0.25">
      <c r="A79" s="1804"/>
      <c r="B79" s="1798"/>
      <c r="C79" s="1794"/>
      <c r="D79" s="1799" t="s">
        <v>2012</v>
      </c>
      <c r="E79" s="1796" t="s">
        <v>1015</v>
      </c>
      <c r="F79" s="1805">
        <f>IF(F78&gt;0,F77/F78," Complete Line 78")</f>
        <v>11344.914055069708</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47569</v>
      </c>
      <c r="G94" s="913"/>
    </row>
    <row r="95" spans="1:7" x14ac:dyDescent="0.2">
      <c r="A95" s="909" t="s">
        <v>142</v>
      </c>
      <c r="B95" s="909" t="s">
        <v>177</v>
      </c>
      <c r="C95" s="911">
        <v>1700</v>
      </c>
      <c r="D95" s="919" t="str">
        <f>'Revenues 9-14'!A82</f>
        <v>Total District/School Activity Income</v>
      </c>
      <c r="E95" s="907"/>
      <c r="F95" s="1811">
        <f>SUM('Revenues 9-14'!C82,'Revenues 9-14'!D82)</f>
        <v>17312</v>
      </c>
      <c r="G95" s="913"/>
    </row>
    <row r="96" spans="1:7" x14ac:dyDescent="0.2">
      <c r="A96" s="909" t="s">
        <v>479</v>
      </c>
      <c r="B96" s="909" t="s">
        <v>178</v>
      </c>
      <c r="C96" s="911">
        <f>'Revenues 9-14'!B84</f>
        <v>1811</v>
      </c>
      <c r="D96" s="912" t="str">
        <f>'Revenues 9-14'!A84</f>
        <v>Rentals - Regular Textbooks</v>
      </c>
      <c r="E96" s="907"/>
      <c r="F96" s="1811">
        <f>'Revenues 9-14'!C84</f>
        <v>18725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1101</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18763</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75182</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22438</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1400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8977</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176245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100159</v>
      </c>
      <c r="G129" s="931"/>
    </row>
    <row r="130" spans="1:7" x14ac:dyDescent="0.2">
      <c r="A130" s="928" t="s">
        <v>689</v>
      </c>
      <c r="B130" s="928" t="s">
        <v>804</v>
      </c>
      <c r="C130" s="933">
        <v>4300</v>
      </c>
      <c r="D130" s="934" t="str">
        <f>'Revenues 9-14'!A211</f>
        <v>Total Title I</v>
      </c>
      <c r="E130" s="907"/>
      <c r="F130" s="1811">
        <f>SUM('Revenues 9-14'!C211,'Revenues 9-14'!D211,'Revenues 9-14'!F211,'Revenues 9-14'!G211)</f>
        <v>84868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30431</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3114</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14946</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6238</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628968</v>
      </c>
    </row>
    <row r="179" spans="1:7" ht="12" customHeight="1" x14ac:dyDescent="0.2">
      <c r="A179" s="1792"/>
      <c r="B179" s="1806"/>
      <c r="C179" s="1807"/>
      <c r="D179" s="1808" t="s">
        <v>2014</v>
      </c>
      <c r="E179" s="1809"/>
      <c r="F179" s="1811">
        <f>'PCTC-OEPP 27-28'!F77-F178</f>
        <v>4261711</v>
      </c>
    </row>
    <row r="180" spans="1:7" ht="12" customHeight="1" x14ac:dyDescent="0.2">
      <c r="A180" s="1792"/>
      <c r="B180" s="1806"/>
      <c r="C180" s="1807"/>
      <c r="D180" s="1808" t="s">
        <v>1924</v>
      </c>
      <c r="E180" s="1809"/>
      <c r="F180" s="1811">
        <f>'Cap Outlay Deprec 26'!I18</f>
        <v>518673.9</v>
      </c>
    </row>
    <row r="181" spans="1:7" ht="12" customHeight="1" x14ac:dyDescent="0.2">
      <c r="A181" s="1792"/>
      <c r="B181" s="1806"/>
      <c r="C181" s="1807"/>
      <c r="D181" s="1808" t="s">
        <v>2015</v>
      </c>
      <c r="E181" s="1809"/>
      <c r="F181" s="1811">
        <f>F179+F180</f>
        <v>4780384.9000000004</v>
      </c>
    </row>
    <row r="182" spans="1:7" ht="12" customHeight="1" x14ac:dyDescent="0.2">
      <c r="A182" s="1792"/>
      <c r="B182" s="1812"/>
      <c r="C182" s="1807"/>
      <c r="D182" s="1808" t="str">
        <f>D78</f>
        <v>9 Month ADA from District Average Daily Attendance/Prior General State Aid Inquiry 2017-2018</v>
      </c>
      <c r="E182" s="1809"/>
      <c r="F182" s="1813">
        <f>'PCTC-OEPP 27-28'!F78</f>
        <v>431.09</v>
      </c>
      <c r="G182" s="931"/>
    </row>
    <row r="183" spans="1:7" ht="12" customHeight="1" thickBot="1" x14ac:dyDescent="0.25">
      <c r="A183" s="1792"/>
      <c r="B183" s="1812"/>
      <c r="C183" s="1807"/>
      <c r="D183" s="1808" t="s">
        <v>2016</v>
      </c>
      <c r="E183" s="1809" t="s">
        <v>1626</v>
      </c>
      <c r="F183" s="1814">
        <f>F181/F182</f>
        <v>11089.064696467096</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2094</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5" t="s">
        <v>1944</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2336150</v>
      </c>
      <c r="F19" s="1822"/>
      <c r="G19" s="1824">
        <f>'Expenditures 15-22'!K33-SUM('Expenditures 15-22'!G33,'Expenditures 15-22'!I33)+'Expenditures 15-22'!D229</f>
        <v>2336150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171570</v>
      </c>
      <c r="F21" s="1825"/>
      <c r="G21" s="1828">
        <f>'Expenditures 15-22'!K42-SUM('Expenditures 15-22'!G42,'Expenditures 15-22'!I42)+'Expenditures 15-22'!K120-SUM('Expenditures 15-22'!G120,'Expenditures 15-22'!I120)+'Expenditures 15-22'!K180-SUM('Expenditures 15-22'!G180,'Expenditures 15-22'!I180)+'Expenditures 15-22'!D238</f>
        <v>171570</v>
      </c>
      <c r="H21" s="988"/>
      <c r="I21" s="162"/>
    </row>
    <row r="22" spans="1:9" s="669" customFormat="1" ht="12" customHeight="1" x14ac:dyDescent="0.2">
      <c r="A22" s="995" t="s">
        <v>585</v>
      </c>
      <c r="B22" s="996"/>
      <c r="C22" s="994">
        <v>2200</v>
      </c>
      <c r="D22" s="1825"/>
      <c r="E22" s="1827">
        <f>'Expenditures 15-22'!K47-SUM('Expenditures 15-22'!G47,'Expenditures 15-22'!I47)+'Expenditures 15-22'!D243</f>
        <v>63979</v>
      </c>
      <c r="F22" s="1825"/>
      <c r="G22" s="1828">
        <f>'Expenditures 15-22'!K47-SUM('Expenditures 15-22'!G47,'Expenditures 15-22'!I47)+'Expenditures 15-22'!D243</f>
        <v>63979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720408</v>
      </c>
      <c r="F23" s="1825"/>
      <c r="G23" s="1827">
        <f>'Expenditures 15-22'!K53-SUM('Expenditures 15-22'!G53,'Expenditures 15-22'!I53)+'Expenditures 15-22'!D257+'Expenditures 15-22'!K330-SUM('Expenditures 15-22'!G330,'Expenditures 15-22'!I330)</f>
        <v>720408</v>
      </c>
      <c r="H23" s="988"/>
      <c r="I23" s="162"/>
    </row>
    <row r="24" spans="1:9" s="669" customFormat="1" ht="12" customHeight="1" x14ac:dyDescent="0.2">
      <c r="A24" s="995" t="s">
        <v>587</v>
      </c>
      <c r="B24" s="996"/>
      <c r="C24" s="994">
        <v>2400</v>
      </c>
      <c r="D24" s="1825"/>
      <c r="E24" s="1827">
        <f>'Expenditures 15-22'!K57-SUM('Expenditures 15-22'!G57,'Expenditures 15-22'!I57)+'Expenditures 15-22'!D261</f>
        <v>258309</v>
      </c>
      <c r="F24" s="1825"/>
      <c r="G24" s="1828">
        <f>'Expenditures 15-22'!K57-SUM('Expenditures 15-22'!G57,'Expenditures 15-22'!I57)+'Expenditures 15-22'!D261</f>
        <v>258309</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84749</v>
      </c>
      <c r="E27" s="1827">
        <f>E8</f>
        <v>0</v>
      </c>
      <c r="F27" s="1827">
        <f>'Expenditures 15-22'!K60-SUM('Expenditures 15-22'!G60,'Expenditures 15-22'!I60)+'Expenditures 15-22'!D264-E8</f>
        <v>84749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542851</v>
      </c>
      <c r="F28" s="1829">
        <f>'Expenditures 15-22'!K61-SUM('Expenditures 15-22'!G61,'Expenditures 15-22'!I61)+'Expenditures 15-22'!K124-SUM('Expenditures 15-22'!G124,'Expenditures 15-22'!I124)+'Expenditures 15-22'!D266-E9</f>
        <v>542851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417015</v>
      </c>
      <c r="F29" s="1825"/>
      <c r="G29" s="1828">
        <f>'Expenditures 15-22'!K62-SUM('Expenditures 15-22'!G62,'Expenditures 15-22'!I62)+'Expenditures 15-22'!K125-SUM('Expenditures 15-22'!G125,'Expenditures 15-22'!I125)+'Expenditures 15-22'!K182-SUM('Expenditures 15-22'!G182,'Expenditures 15-22'!I182)+'Expenditures 15-22'!D267</f>
        <v>417015</v>
      </c>
      <c r="H29" s="986"/>
    </row>
    <row r="30" spans="1:9" ht="12" customHeight="1" x14ac:dyDescent="0.2">
      <c r="A30" s="995" t="s">
        <v>102</v>
      </c>
      <c r="B30" s="998"/>
      <c r="C30" s="994">
        <v>2560</v>
      </c>
      <c r="D30" s="1825"/>
      <c r="E30" s="1827">
        <f>'Expenditures 15-22'!K63-SUM('Expenditures 15-22'!G63,'Expenditures 15-22'!I63)+'Expenditures 15-22'!D268-E10</f>
        <v>173478</v>
      </c>
      <c r="F30" s="1825"/>
      <c r="G30" s="1827">
        <f>'Expenditures 15-22'!K63-SUM('Expenditures 15-22'!G63,'Expenditures 15-22'!I63)+'Expenditures 15-22'!D268-E10</f>
        <v>173478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1701</v>
      </c>
      <c r="F35" s="1825"/>
      <c r="G35" s="1827">
        <f>'Expenditures 15-22'!K69-SUM('Expenditures 15-22'!G69,'Expenditures 15-22'!I69)+'Expenditures 15-22'!D274</f>
        <v>1701</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1138</v>
      </c>
      <c r="F38" s="1825"/>
      <c r="G38" s="1827">
        <f>'Expenditures 15-22'!K73-SUM('Expenditures 15-22'!G73,'Expenditures 15-22'!I73)+'Expenditures 15-22'!K128-SUM('Expenditures 15-22'!G128,'Expenditures 15-22'!I128)+'Expenditures 15-22'!K183-SUM('Expenditures 15-22'!G183,'Expenditures 15-22'!I183)+'Expenditures 15-22'!D278</f>
        <v>1138</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84749</v>
      </c>
      <c r="E41" s="1829">
        <f>SUM(E19:E40)</f>
        <v>4686599</v>
      </c>
      <c r="F41" s="1829">
        <f>SUM(F19:F39)</f>
        <v>627600</v>
      </c>
      <c r="G41" s="1829">
        <f>SUM(G19:G40)</f>
        <v>4143748</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84749</v>
      </c>
      <c r="F43" s="1830" t="s">
        <v>495</v>
      </c>
      <c r="G43" s="1831">
        <f>F41</f>
        <v>627600</v>
      </c>
    </row>
    <row r="44" spans="1:7" ht="12" customHeight="1" x14ac:dyDescent="0.2">
      <c r="A44" s="988"/>
      <c r="B44" s="162"/>
      <c r="C44" s="1002"/>
      <c r="D44" s="1830" t="s">
        <v>494</v>
      </c>
      <c r="E44" s="1831">
        <f>E41</f>
        <v>4686599</v>
      </c>
      <c r="F44" s="1830" t="s">
        <v>494</v>
      </c>
      <c r="G44" s="1831">
        <f>G41</f>
        <v>4143748</v>
      </c>
    </row>
    <row r="45" spans="1:7" ht="12" customHeight="1" x14ac:dyDescent="0.2">
      <c r="A45" s="988"/>
      <c r="B45" s="162"/>
      <c r="C45" s="162"/>
      <c r="D45" s="1832" t="s">
        <v>1063</v>
      </c>
      <c r="E45" s="1833">
        <f>(E43/E44)</f>
        <v>1.8083262510831415E-2</v>
      </c>
      <c r="F45" s="1832" t="s">
        <v>1063</v>
      </c>
      <c r="G45" s="1833">
        <f>(G43/G44)</f>
        <v>0.15145708667612026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Heritage CUSD 8</v>
      </c>
      <c r="D6" s="2326"/>
      <c r="E6" s="2326"/>
      <c r="F6" s="1877"/>
    </row>
    <row r="7" spans="1:10" ht="11.25" customHeight="1" thickBot="1" x14ac:dyDescent="0.3">
      <c r="A7" s="1875"/>
      <c r="B7" s="1876"/>
      <c r="C7" s="2327">
        <f>COVER!A13</f>
        <v>9010008026</v>
      </c>
      <c r="D7" s="2327"/>
      <c r="E7" s="232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2097</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t="s">
        <v>2077</v>
      </c>
      <c r="D32" s="1890" t="s">
        <v>2077</v>
      </c>
      <c r="E32" s="1893" t="s">
        <v>2077</v>
      </c>
      <c r="F32" s="1892" t="s">
        <v>2096</v>
      </c>
      <c r="H32" s="1903">
        <f t="shared" si="0"/>
        <v>5</v>
      </c>
      <c r="I32" s="1903">
        <f t="shared" si="1"/>
        <v>5</v>
      </c>
      <c r="J32" s="1903">
        <f t="shared" si="2"/>
        <v>5</v>
      </c>
    </row>
    <row r="33" spans="1:11" ht="12" customHeight="1" x14ac:dyDescent="0.2">
      <c r="A33" s="1888" t="s">
        <v>1622</v>
      </c>
      <c r="B33" s="1889"/>
      <c r="C33" s="1890" t="s">
        <v>2077</v>
      </c>
      <c r="D33" s="1890" t="s">
        <v>2077</v>
      </c>
      <c r="E33" s="1893" t="s">
        <v>2077</v>
      </c>
      <c r="F33" s="1892" t="s">
        <v>2095</v>
      </c>
      <c r="H33" s="1903">
        <f t="shared" si="0"/>
        <v>5</v>
      </c>
      <c r="I33" s="1903">
        <f t="shared" si="1"/>
        <v>5</v>
      </c>
      <c r="J33" s="1903">
        <f t="shared" si="2"/>
        <v>5</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Heritage CUSD 8</v>
      </c>
      <c r="J6" s="2336"/>
      <c r="Q6" s="1686"/>
    </row>
    <row r="7" spans="1:17" x14ac:dyDescent="0.2">
      <c r="A7" s="2337" t="s">
        <v>924</v>
      </c>
      <c r="B7" s="2338"/>
      <c r="C7" s="2338"/>
      <c r="D7" s="2338"/>
      <c r="E7" s="2339"/>
      <c r="F7" s="1018"/>
      <c r="G7" s="1010"/>
      <c r="H7" s="1017" t="s">
        <v>390</v>
      </c>
      <c r="I7" s="2340">
        <f>COVER!A13</f>
        <v>9010008026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120816</v>
      </c>
      <c r="F12" s="1040"/>
      <c r="G12" s="1834">
        <f t="shared" ref="G12:G18" si="0">SUM(E12:F12)</f>
        <v>120816</v>
      </c>
      <c r="H12" s="1041">
        <v>126910</v>
      </c>
      <c r="I12" s="1040"/>
      <c r="J12" s="1834">
        <f t="shared" ref="J12:J18" si="1">SUM(H12:I12)</f>
        <v>126910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120816</v>
      </c>
      <c r="F19" s="1836">
        <f t="shared" si="2"/>
        <v>0</v>
      </c>
      <c r="G19" s="1836">
        <f t="shared" si="2"/>
        <v>120816</v>
      </c>
      <c r="H19" s="1836">
        <f t="shared" si="2"/>
        <v>126910</v>
      </c>
      <c r="I19" s="1836">
        <f t="shared" si="2"/>
        <v>0</v>
      </c>
      <c r="J19" s="1836">
        <f t="shared" si="2"/>
        <v>126910</v>
      </c>
    </row>
    <row r="20" spans="1:10" ht="13.5" thickTop="1" x14ac:dyDescent="0.2">
      <c r="A20" s="1036">
        <v>9</v>
      </c>
      <c r="B20" s="2347" t="s">
        <v>1703</v>
      </c>
      <c r="C20" s="2347"/>
      <c r="D20" s="2348"/>
      <c r="E20" s="1047"/>
      <c r="F20" s="1047"/>
      <c r="G20" s="1047"/>
      <c r="H20" s="1047"/>
      <c r="I20" s="1047"/>
      <c r="J20" s="1837">
        <f>IF(AND(G19&gt;0,J19&gt;0),(((J19-G19)/G19)),"Enter Budget Data")</f>
        <v>5.0440339027943322E-2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9"/>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7" t="s">
        <v>2098</v>
      </c>
    </row>
    <row r="6" spans="1:2" x14ac:dyDescent="0.2">
      <c r="A6" s="1069"/>
      <c r="B6" s="389" t="s">
        <v>2100</v>
      </c>
    </row>
    <row r="7" spans="1:2" x14ac:dyDescent="0.2">
      <c r="A7" s="1069"/>
      <c r="B7" s="329" t="s">
        <v>2101</v>
      </c>
    </row>
    <row r="8" spans="1:2" x14ac:dyDescent="0.2">
      <c r="A8" s="1069"/>
    </row>
    <row r="9" spans="1:2" x14ac:dyDescent="0.2">
      <c r="A9" s="1069"/>
      <c r="B9" s="389" t="s">
        <v>2099</v>
      </c>
    </row>
    <row r="10" spans="1:2" x14ac:dyDescent="0.2">
      <c r="A10" s="1069"/>
      <c r="B10" s="329" t="s">
        <v>2102</v>
      </c>
    </row>
    <row r="11" spans="1:2" x14ac:dyDescent="0.2">
      <c r="A11" s="1069"/>
    </row>
    <row r="12" spans="1:2" x14ac:dyDescent="0.2">
      <c r="A12" s="1069">
        <v>2</v>
      </c>
      <c r="B12" s="1957" t="s">
        <v>2138</v>
      </c>
    </row>
    <row r="13" spans="1:2" x14ac:dyDescent="0.2">
      <c r="A13" s="1069"/>
      <c r="B13" s="389" t="s">
        <v>2137</v>
      </c>
    </row>
    <row r="14" spans="1:2" x14ac:dyDescent="0.2">
      <c r="A14" s="1069"/>
      <c r="B14" s="329" t="s">
        <v>2139</v>
      </c>
    </row>
    <row r="15" spans="1:2" x14ac:dyDescent="0.2">
      <c r="A15" s="1069"/>
    </row>
    <row r="16" spans="1:2" x14ac:dyDescent="0.2">
      <c r="A16" s="1069">
        <v>3</v>
      </c>
      <c r="B16" s="1957" t="s">
        <v>2103</v>
      </c>
    </row>
    <row r="17" spans="1:2" x14ac:dyDescent="0.2">
      <c r="A17" s="1069"/>
      <c r="B17" s="389" t="s">
        <v>2104</v>
      </c>
    </row>
    <row r="18" spans="1:2" x14ac:dyDescent="0.2">
      <c r="A18" s="1069"/>
      <c r="B18" s="329" t="s">
        <v>2111</v>
      </c>
    </row>
    <row r="19" spans="1:2" x14ac:dyDescent="0.2">
      <c r="A19" s="1069"/>
    </row>
    <row r="20" spans="1:2" x14ac:dyDescent="0.2">
      <c r="A20" s="1069">
        <v>4</v>
      </c>
      <c r="B20" s="1957" t="s">
        <v>2105</v>
      </c>
    </row>
    <row r="21" spans="1:2" x14ac:dyDescent="0.2">
      <c r="A21" s="1069"/>
      <c r="B21" s="389" t="s">
        <v>2104</v>
      </c>
    </row>
    <row r="22" spans="1:2" x14ac:dyDescent="0.2">
      <c r="A22" s="1069"/>
      <c r="B22" s="329" t="s">
        <v>2110</v>
      </c>
    </row>
    <row r="23" spans="1:2" x14ac:dyDescent="0.2">
      <c r="A23" s="1069"/>
    </row>
    <row r="24" spans="1:2" x14ac:dyDescent="0.2">
      <c r="A24" s="1069">
        <v>5</v>
      </c>
      <c r="B24" s="1957" t="s">
        <v>2108</v>
      </c>
    </row>
    <row r="25" spans="1:2" x14ac:dyDescent="0.2">
      <c r="A25" s="1070"/>
      <c r="B25" s="389" t="s">
        <v>2104</v>
      </c>
    </row>
    <row r="26" spans="1:2" x14ac:dyDescent="0.2">
      <c r="A26" s="1070"/>
      <c r="B26" s="329" t="s">
        <v>2109</v>
      </c>
    </row>
    <row r="27" spans="1:2" x14ac:dyDescent="0.2">
      <c r="A27" s="1070"/>
    </row>
    <row r="28" spans="1:2" x14ac:dyDescent="0.2">
      <c r="A28" s="1069">
        <v>6</v>
      </c>
      <c r="B28" s="1957" t="s">
        <v>2106</v>
      </c>
    </row>
    <row r="29" spans="1:2" x14ac:dyDescent="0.2">
      <c r="A29" s="1070"/>
      <c r="B29" s="389" t="s">
        <v>2104</v>
      </c>
    </row>
    <row r="30" spans="1:2" x14ac:dyDescent="0.2">
      <c r="A30" s="1070"/>
      <c r="B30" s="329" t="s">
        <v>2107</v>
      </c>
    </row>
    <row r="31" spans="1:2" x14ac:dyDescent="0.2">
      <c r="A31" s="1070"/>
    </row>
    <row r="32" spans="1:2" x14ac:dyDescent="0.2">
      <c r="A32" s="1070"/>
      <c r="B32" s="389" t="s">
        <v>2112</v>
      </c>
    </row>
    <row r="33" spans="1:2" x14ac:dyDescent="0.2">
      <c r="A33" s="1070"/>
      <c r="B33" s="329" t="s">
        <v>2113</v>
      </c>
    </row>
    <row r="34" spans="1:2" x14ac:dyDescent="0.2">
      <c r="A34" s="1070"/>
    </row>
    <row r="35" spans="1:2" x14ac:dyDescent="0.2">
      <c r="A35" s="1070"/>
      <c r="B35" s="389" t="s">
        <v>2114</v>
      </c>
    </row>
    <row r="36" spans="1:2" x14ac:dyDescent="0.2">
      <c r="A36" s="1070"/>
      <c r="B36" s="329" t="s">
        <v>2115</v>
      </c>
    </row>
    <row r="37" spans="1:2" x14ac:dyDescent="0.2">
      <c r="A37" s="1070"/>
    </row>
    <row r="38" spans="1:2" x14ac:dyDescent="0.2">
      <c r="A38" s="1070"/>
      <c r="B38" s="389" t="s">
        <v>2116</v>
      </c>
    </row>
    <row r="39" spans="1:2" x14ac:dyDescent="0.2">
      <c r="A39" s="1070"/>
      <c r="B39" s="329" t="s">
        <v>2117</v>
      </c>
    </row>
    <row r="40" spans="1:2" x14ac:dyDescent="0.2">
      <c r="A40" s="1070"/>
    </row>
    <row r="41" spans="1:2" x14ac:dyDescent="0.2">
      <c r="A41" s="1069">
        <v>7</v>
      </c>
      <c r="B41" s="1957" t="s">
        <v>2118</v>
      </c>
    </row>
    <row r="42" spans="1:2" x14ac:dyDescent="0.2">
      <c r="A42" s="1070"/>
      <c r="B42" s="389" t="s">
        <v>2104</v>
      </c>
    </row>
    <row r="43" spans="1:2" x14ac:dyDescent="0.2">
      <c r="A43" s="1070"/>
      <c r="B43" s="329" t="s">
        <v>2119</v>
      </c>
    </row>
    <row r="44" spans="1:2" x14ac:dyDescent="0.2">
      <c r="A44" s="1070"/>
    </row>
    <row r="45" spans="1:2" x14ac:dyDescent="0.2">
      <c r="A45" s="1069">
        <v>8</v>
      </c>
      <c r="B45" s="1957" t="s">
        <v>2120</v>
      </c>
    </row>
    <row r="46" spans="1:2" x14ac:dyDescent="0.2">
      <c r="A46" s="1070"/>
      <c r="B46" s="389" t="s">
        <v>2104</v>
      </c>
    </row>
    <row r="47" spans="1:2" x14ac:dyDescent="0.2">
      <c r="A47" s="1070"/>
      <c r="B47" s="329" t="s">
        <v>2121</v>
      </c>
    </row>
    <row r="48" spans="1:2" x14ac:dyDescent="0.2">
      <c r="A48" s="1070"/>
    </row>
    <row r="49" spans="1:2" x14ac:dyDescent="0.2">
      <c r="A49" s="1069">
        <v>9</v>
      </c>
      <c r="B49" s="1957" t="s">
        <v>2122</v>
      </c>
    </row>
    <row r="50" spans="1:2" x14ac:dyDescent="0.2">
      <c r="A50" s="1070"/>
      <c r="B50" s="329" t="s">
        <v>2123</v>
      </c>
    </row>
    <row r="51" spans="1:2" x14ac:dyDescent="0.2">
      <c r="A51" s="1070"/>
    </row>
    <row r="52" spans="1:2" x14ac:dyDescent="0.2">
      <c r="A52" s="1069">
        <v>10</v>
      </c>
      <c r="B52" s="1957" t="s">
        <v>2124</v>
      </c>
    </row>
    <row r="53" spans="1:2" x14ac:dyDescent="0.2">
      <c r="A53" s="1070"/>
      <c r="B53" s="329" t="s">
        <v>2125</v>
      </c>
    </row>
    <row r="54" spans="1:2" x14ac:dyDescent="0.2">
      <c r="A54" s="1070"/>
    </row>
    <row r="55" spans="1:2" x14ac:dyDescent="0.2">
      <c r="A55" s="1069">
        <v>11</v>
      </c>
      <c r="B55" s="1957" t="s">
        <v>2126</v>
      </c>
    </row>
    <row r="56" spans="1:2" x14ac:dyDescent="0.2">
      <c r="A56" s="1070"/>
      <c r="B56" s="329" t="s">
        <v>2127</v>
      </c>
    </row>
    <row r="57" spans="1:2" x14ac:dyDescent="0.2">
      <c r="A57" s="1070"/>
    </row>
    <row r="58" spans="1:2" x14ac:dyDescent="0.2">
      <c r="A58" s="1069">
        <v>12</v>
      </c>
      <c r="B58" s="1957" t="s">
        <v>2134</v>
      </c>
    </row>
    <row r="59" spans="1:2" x14ac:dyDescent="0.2">
      <c r="A59" s="1070"/>
      <c r="B59" s="329" t="s">
        <v>2135</v>
      </c>
    </row>
    <row r="60" spans="1:2" x14ac:dyDescent="0.2">
      <c r="A60" s="1070"/>
    </row>
    <row r="61" spans="1:2" x14ac:dyDescent="0.2">
      <c r="A61" s="1070"/>
      <c r="B61" s="329" t="s">
        <v>2136</v>
      </c>
    </row>
    <row r="62" spans="1:2" x14ac:dyDescent="0.2">
      <c r="A62" s="1070"/>
    </row>
    <row r="63" spans="1:2" x14ac:dyDescent="0.2">
      <c r="A63" s="1070"/>
    </row>
    <row r="64" spans="1:2" x14ac:dyDescent="0.2">
      <c r="A64" s="1070"/>
    </row>
    <row r="65" spans="1:2" x14ac:dyDescent="0.2">
      <c r="A65" s="1070"/>
    </row>
    <row r="66" spans="1:2" x14ac:dyDescent="0.2">
      <c r="A66" s="1070"/>
    </row>
    <row r="67" spans="1:2" x14ac:dyDescent="0.2">
      <c r="A67" s="1070"/>
    </row>
    <row r="68" spans="1:2" x14ac:dyDescent="0.2">
      <c r="A68" s="1070"/>
    </row>
    <row r="69" spans="1:2" x14ac:dyDescent="0.2">
      <c r="A69" s="1070"/>
    </row>
    <row r="70" spans="1:2" x14ac:dyDescent="0.2">
      <c r="A70" s="1070"/>
    </row>
    <row r="71" spans="1:2" x14ac:dyDescent="0.2">
      <c r="A71" s="1070"/>
    </row>
    <row r="72" spans="1:2" x14ac:dyDescent="0.2">
      <c r="A72" s="1070"/>
    </row>
    <row r="73" spans="1:2" x14ac:dyDescent="0.2">
      <c r="A73" s="1070"/>
    </row>
    <row r="74" spans="1:2" x14ac:dyDescent="0.2">
      <c r="A74" s="1070"/>
    </row>
    <row r="75" spans="1:2" x14ac:dyDescent="0.2">
      <c r="A75" s="1070"/>
    </row>
    <row r="76" spans="1:2" x14ac:dyDescent="0.2">
      <c r="A76" s="1070"/>
    </row>
    <row r="77" spans="1:2" x14ac:dyDescent="0.2">
      <c r="A77" s="1070"/>
    </row>
    <row r="78" spans="1:2" x14ac:dyDescent="0.2">
      <c r="A78" s="1070"/>
      <c r="B78" s="258" t="str">
        <f>COVER!A17</f>
        <v>Heritage CUSD 8</v>
      </c>
    </row>
    <row r="79" spans="1:2" x14ac:dyDescent="0.2">
      <c r="B79" s="1071">
        <f>COVER!A13</f>
        <v>9010008026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3290336</v>
      </c>
      <c r="C8" s="1838">
        <f>'Acct Summary 7-8'!D8</f>
        <v>555092</v>
      </c>
      <c r="D8" s="1838">
        <f>'Acct Summary 7-8'!F8</f>
        <v>400477</v>
      </c>
      <c r="E8" s="1838">
        <f>'Acct Summary 7-8'!I8</f>
        <v>48165</v>
      </c>
      <c r="F8" s="1838">
        <f>SUM(B8:E8)</f>
        <v>4294070</v>
      </c>
    </row>
    <row r="9" spans="1:8" s="1080" customFormat="1" ht="14.25" customHeight="1" thickBot="1" x14ac:dyDescent="0.25">
      <c r="A9" s="1079" t="s">
        <v>1436</v>
      </c>
      <c r="B9" s="1839">
        <f>'Acct Summary 7-8'!C17</f>
        <v>3188771</v>
      </c>
      <c r="C9" s="1839">
        <f>'Acct Summary 7-8'!D17</f>
        <v>512151</v>
      </c>
      <c r="D9" s="1839">
        <f>'Acct Summary 7-8'!F17</f>
        <v>385611</v>
      </c>
      <c r="E9" s="1838"/>
      <c r="F9" s="1838">
        <f>SUM(B9:E9)</f>
        <v>4086533</v>
      </c>
    </row>
    <row r="10" spans="1:8" s="1080" customFormat="1" ht="14.25" thickTop="1" thickBot="1" x14ac:dyDescent="0.25">
      <c r="A10" s="1081" t="s">
        <v>1437</v>
      </c>
      <c r="B10" s="1840">
        <f>(B8-B9)</f>
        <v>101565</v>
      </c>
      <c r="C10" s="1840">
        <f>(C8-C9)</f>
        <v>42941</v>
      </c>
      <c r="D10" s="1840">
        <f>(D8-D9)</f>
        <v>14866</v>
      </c>
      <c r="E10" s="1839">
        <f>(E8-E9)</f>
        <v>48165</v>
      </c>
      <c r="F10" s="1841">
        <f>SUM(F8-F9)</f>
        <v>207537</v>
      </c>
    </row>
    <row r="11" spans="1:8" s="1080" customFormat="1" ht="14.25" thickTop="1" thickBot="1" x14ac:dyDescent="0.25">
      <c r="A11" s="1082" t="s">
        <v>1785</v>
      </c>
      <c r="B11" s="1842">
        <f>'Acct Summary 7-8'!C81</f>
        <v>1407588</v>
      </c>
      <c r="C11" s="1842">
        <f>'Acct Summary 7-8'!D81</f>
        <v>712208</v>
      </c>
      <c r="D11" s="1842">
        <f>'Acct Summary 7-8'!F81</f>
        <v>366328</v>
      </c>
      <c r="E11" s="1842">
        <f>'Acct Summary 7-8'!I81</f>
        <v>1544888</v>
      </c>
      <c r="F11" s="1843">
        <f>SUM(B11:E11)</f>
        <v>4031012</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ERROR!</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9010008026</v>
      </c>
    </row>
    <row r="3" spans="1:2" x14ac:dyDescent="0.2">
      <c r="A3" t="s">
        <v>1013</v>
      </c>
      <c r="B3" s="138" t="str">
        <f>COVER!A15</f>
        <v>CHAMPAIGN</v>
      </c>
    </row>
    <row r="4" spans="1:2" x14ac:dyDescent="0.2">
      <c r="A4" t="s">
        <v>1064</v>
      </c>
      <c r="B4" s="138" t="str">
        <f>COVER!A17</f>
        <v>Heritage CUSD 8</v>
      </c>
    </row>
    <row r="5" spans="1:2" x14ac:dyDescent="0.2">
      <c r="A5" t="s">
        <v>728</v>
      </c>
      <c r="B5" s="138" t="str">
        <f>COVER!A38</f>
        <v>TOM DAVIS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Yes</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1416495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8907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8907</v>
      </c>
      <c r="C91" s="2" t="s">
        <v>594</v>
      </c>
      <c r="D91" s="2" t="str">
        <f t="shared" si="0"/>
        <v>Error?</v>
      </c>
    </row>
    <row r="92" spans="1:4" x14ac:dyDescent="0.2">
      <c r="A92" s="5">
        <v>31</v>
      </c>
      <c r="B92" s="138">
        <f>'Assets-Liab 5-6'!C39</f>
        <v>1407588</v>
      </c>
      <c r="D92" s="2" t="str">
        <f t="shared" si="0"/>
        <v>Error?</v>
      </c>
    </row>
    <row r="93" spans="1:4" x14ac:dyDescent="0.2">
      <c r="A93" s="5">
        <v>32</v>
      </c>
      <c r="B93" s="138">
        <f>'Assets-Liab 5-6'!C41</f>
        <v>1416495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712208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712208</v>
      </c>
      <c r="D123" s="2" t="str">
        <f t="shared" si="0"/>
        <v>Error?</v>
      </c>
    </row>
    <row r="124" spans="1:4" x14ac:dyDescent="0.2">
      <c r="A124" s="5">
        <v>63</v>
      </c>
      <c r="B124" s="138">
        <f>'Assets-Liab 5-6'!D41</f>
        <v>712208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314072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314072</v>
      </c>
      <c r="D140" s="2" t="str">
        <f t="shared" si="1"/>
        <v>Error?</v>
      </c>
    </row>
    <row r="141" spans="1:4" x14ac:dyDescent="0.2">
      <c r="A141" s="5">
        <v>80</v>
      </c>
      <c r="B141" s="138">
        <f>'Assets-Liab 5-6'!E41</f>
        <v>314072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366328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366328</v>
      </c>
      <c r="D170" s="2" t="str">
        <f t="shared" si="1"/>
        <v>Error?</v>
      </c>
    </row>
    <row r="171" spans="1:4" x14ac:dyDescent="0.2">
      <c r="A171" s="5">
        <v>110</v>
      </c>
      <c r="B171" s="138">
        <f>'Assets-Liab 5-6'!F41</f>
        <v>366328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166521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166521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578334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401750</v>
      </c>
      <c r="D212" s="2" t="str">
        <f t="shared" si="2"/>
        <v>Error?</v>
      </c>
    </row>
    <row r="213" spans="1:4" x14ac:dyDescent="0.2">
      <c r="A213" s="12">
        <v>152</v>
      </c>
      <c r="B213" s="138">
        <f>'Assets-Liab 5-6'!H41</f>
        <v>578334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85250</v>
      </c>
      <c r="D273" s="2" t="str">
        <f t="shared" si="3"/>
        <v>Error?</v>
      </c>
    </row>
    <row r="274" spans="1:4" x14ac:dyDescent="0.2">
      <c r="A274" s="5">
        <v>213</v>
      </c>
      <c r="B274" s="138">
        <f>'Assets-Liab 5-6'!M17</f>
        <v>9441867</v>
      </c>
      <c r="D274" s="2" t="str">
        <f t="shared" si="3"/>
        <v>Error?</v>
      </c>
    </row>
    <row r="275" spans="1:4" x14ac:dyDescent="0.2">
      <c r="A275" s="5">
        <v>214</v>
      </c>
      <c r="B275" s="138">
        <f>'Assets-Liab 5-6'!M18</f>
        <v>428654</v>
      </c>
      <c r="D275" s="2" t="str">
        <f t="shared" si="3"/>
        <v>Error?</v>
      </c>
    </row>
    <row r="276" spans="1:4" x14ac:dyDescent="0.2">
      <c r="A276" s="5">
        <v>215</v>
      </c>
      <c r="B276" s="138">
        <f>'Assets-Liab 5-6'!M19</f>
        <v>3972768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13928539</v>
      </c>
      <c r="C279" s="2" t="s">
        <v>594</v>
      </c>
      <c r="D279" s="2" t="str">
        <f t="shared" si="3"/>
        <v>Error?</v>
      </c>
    </row>
    <row r="280" spans="1:4" x14ac:dyDescent="0.2">
      <c r="A280" s="5">
        <v>219</v>
      </c>
      <c r="B280" s="138">
        <f>'Assets-Liab 5-6'!M40</f>
        <v>13928539</v>
      </c>
      <c r="D280" s="2" t="str">
        <f t="shared" si="3"/>
        <v>Error?</v>
      </c>
    </row>
    <row r="281" spans="1:4" x14ac:dyDescent="0.2">
      <c r="A281" s="5">
        <v>220</v>
      </c>
      <c r="B281" s="138">
        <f>'Assets-Liab 5-6'!M41</f>
        <v>13928539</v>
      </c>
      <c r="C281" s="2" t="s">
        <v>594</v>
      </c>
      <c r="D281" s="2" t="str">
        <f t="shared" si="3"/>
        <v>Error?</v>
      </c>
    </row>
    <row r="282" spans="1:4" x14ac:dyDescent="0.2">
      <c r="A282" s="5">
        <v>221</v>
      </c>
      <c r="B282" s="138">
        <f>'Assets-Liab 5-6'!N21</f>
        <v>314072</v>
      </c>
      <c r="D282" s="2" t="str">
        <f t="shared" si="3"/>
        <v>Error?</v>
      </c>
    </row>
    <row r="283" spans="1:4" x14ac:dyDescent="0.2">
      <c r="A283" s="5">
        <v>222</v>
      </c>
      <c r="B283" s="138">
        <f>'Assets-Liab 5-6'!N22</f>
        <v>5155346</v>
      </c>
      <c r="D283" s="2" t="str">
        <f t="shared" si="3"/>
        <v>Error?</v>
      </c>
    </row>
    <row r="284" spans="1:4" x14ac:dyDescent="0.2">
      <c r="A284" s="5">
        <v>223</v>
      </c>
      <c r="B284" s="138">
        <f>'Assets-Liab 5-6'!N23</f>
        <v>5469418</v>
      </c>
      <c r="C284" s="2" t="s">
        <v>594</v>
      </c>
      <c r="D284" s="2" t="str">
        <f t="shared" si="3"/>
        <v>Error?</v>
      </c>
    </row>
    <row r="285" spans="1:4" x14ac:dyDescent="0.2">
      <c r="A285" s="5">
        <v>224</v>
      </c>
      <c r="B285" s="138">
        <f>'Assets-Liab 5-6'!N36</f>
        <v>5469418</v>
      </c>
      <c r="D285" s="2" t="str">
        <f t="shared" si="3"/>
        <v>Error?</v>
      </c>
    </row>
    <row r="286" spans="1:4" x14ac:dyDescent="0.2">
      <c r="A286" s="10">
        <v>225</v>
      </c>
      <c r="D286" s="2" t="str">
        <f t="shared" si="3"/>
        <v>OK</v>
      </c>
    </row>
    <row r="287" spans="1:4" x14ac:dyDescent="0.2">
      <c r="A287" s="5">
        <v>226</v>
      </c>
      <c r="B287" s="138">
        <f>'Assets-Liab 5-6'!N37</f>
        <v>5469418</v>
      </c>
      <c r="C287" s="2" t="s">
        <v>594</v>
      </c>
      <c r="D287" s="2" t="str">
        <f t="shared" si="3"/>
        <v>Error?</v>
      </c>
    </row>
    <row r="288" spans="1:4" x14ac:dyDescent="0.2">
      <c r="A288" s="5">
        <v>227</v>
      </c>
      <c r="B288" s="138">
        <f>'Assets-Liab 5-6'!N41</f>
        <v>5469418</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535000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1461346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51323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1836285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53863</v>
      </c>
      <c r="D722" s="2" t="str">
        <f t="shared" si="10"/>
        <v>Error?</v>
      </c>
    </row>
    <row r="723" spans="1:4" x14ac:dyDescent="0.2">
      <c r="A723" s="5">
        <v>662</v>
      </c>
      <c r="B723" s="138">
        <f>'Expenditures 15-22'!C38</f>
        <v>19211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73074</v>
      </c>
      <c r="C727" s="2" t="s">
        <v>594</v>
      </c>
      <c r="D727" s="2" t="str">
        <f t="shared" si="10"/>
        <v>Error?</v>
      </c>
    </row>
    <row r="728" spans="1:4" x14ac:dyDescent="0.2">
      <c r="A728" s="5">
        <v>667</v>
      </c>
      <c r="B728" s="138">
        <f>'Expenditures 15-22'!C44</f>
        <v>23027</v>
      </c>
      <c r="D728" s="2" t="str">
        <f t="shared" si="10"/>
        <v>Error?</v>
      </c>
    </row>
    <row r="729" spans="1:4" x14ac:dyDescent="0.2">
      <c r="A729" s="5">
        <v>668</v>
      </c>
      <c r="B729" s="138">
        <f>'Expenditures 15-22'!C45</f>
        <v>22253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45280</v>
      </c>
      <c r="C731" s="2" t="s">
        <v>594</v>
      </c>
      <c r="D731" s="2" t="str">
        <f t="shared" si="10"/>
        <v>Error?</v>
      </c>
    </row>
    <row r="732" spans="1:4" x14ac:dyDescent="0.2">
      <c r="A732" s="5">
        <v>671</v>
      </c>
      <c r="B732" s="138">
        <f>'Expenditures 15-22'!C49</f>
        <v>2700</v>
      </c>
      <c r="D732" s="2" t="str">
        <f t="shared" si="10"/>
        <v>Error?</v>
      </c>
    </row>
    <row r="733" spans="1:4" x14ac:dyDescent="0.2">
      <c r="A733" s="5">
        <v>672</v>
      </c>
      <c r="B733" s="138">
        <f>'Expenditures 15-22'!C50</f>
        <v>96836</v>
      </c>
      <c r="D733" s="2" t="str">
        <f t="shared" si="10"/>
        <v>Error?</v>
      </c>
    </row>
    <row r="734" spans="1:4" x14ac:dyDescent="0.2">
      <c r="A734" s="5">
        <v>673</v>
      </c>
      <c r="B734" s="138">
        <f>'Expenditures 15-22'!C53</f>
        <v>99536</v>
      </c>
      <c r="C734" s="2" t="s">
        <v>594</v>
      </c>
      <c r="D734" s="2" t="str">
        <f t="shared" si="10"/>
        <v>Error?</v>
      </c>
    </row>
    <row r="735" spans="1:4" x14ac:dyDescent="0.2">
      <c r="A735" s="5">
        <v>674</v>
      </c>
      <c r="B735" s="138">
        <f>'Expenditures 15-22'!C55</f>
        <v>193261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193261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54187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66263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120450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531601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2367886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155215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341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197133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6334</v>
      </c>
      <c r="D780" s="2" t="str">
        <f t="shared" si="11"/>
        <v>Error?</v>
      </c>
    </row>
    <row r="781" spans="1:4" x14ac:dyDescent="0.2">
      <c r="A781" s="5">
        <v>720</v>
      </c>
      <c r="B781" s="138">
        <f>'Expenditures 15-22'!D38</f>
        <v>2935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9269</v>
      </c>
      <c r="C785" s="2" t="s">
        <v>594</v>
      </c>
      <c r="D785" s="2" t="str">
        <f t="shared" si="11"/>
        <v>Error?</v>
      </c>
    </row>
    <row r="786" spans="1:4" x14ac:dyDescent="0.2">
      <c r="A786" s="5">
        <v>725</v>
      </c>
      <c r="B786" s="138">
        <f>'Expenditures 15-22'!D44</f>
        <v>842</v>
      </c>
      <c r="D786" s="2" t="str">
        <f t="shared" si="11"/>
        <v>Error?</v>
      </c>
    </row>
    <row r="787" spans="1:4" x14ac:dyDescent="0.2">
      <c r="A787" s="5">
        <v>726</v>
      </c>
      <c r="B787" s="138">
        <f>'Expenditures 15-22'!D45</f>
        <v>4902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5744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18948</v>
      </c>
      <c r="D791" s="2" t="str">
        <f t="shared" si="11"/>
        <v>Error?</v>
      </c>
    </row>
    <row r="792" spans="1:4" x14ac:dyDescent="0.2">
      <c r="A792" s="5">
        <v>731</v>
      </c>
      <c r="B792" s="138">
        <f>'Expenditures 15-22'!D53</f>
        <v>18948</v>
      </c>
      <c r="C792" s="2" t="s">
        <v>594</v>
      </c>
      <c r="D792" s="2" t="str">
        <f t="shared" si="11"/>
        <v>Error?</v>
      </c>
    </row>
    <row r="793" spans="1:4" x14ac:dyDescent="0.2">
      <c r="A793" s="5">
        <v>732</v>
      </c>
      <c r="B793" s="138">
        <f>'Expenditures 15-22'!D55</f>
        <v>25965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25965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6412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13392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19804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79730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276863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45868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48257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119856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2650</v>
      </c>
      <c r="D838" s="2" t="str">
        <f t="shared" si="12"/>
        <v>Error?</v>
      </c>
    </row>
    <row r="839" spans="1:4" x14ac:dyDescent="0.2">
      <c r="A839" s="5">
        <v>778</v>
      </c>
      <c r="B839" s="138">
        <f>'Expenditures 15-22'!E38</f>
        <v>482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77223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80355</v>
      </c>
      <c r="C843" s="2" t="s">
        <v>594</v>
      </c>
      <c r="D843" s="2" t="str">
        <f t="shared" si="12"/>
        <v>Error?</v>
      </c>
    </row>
    <row r="844" spans="1:4" x14ac:dyDescent="0.2">
      <c r="A844" s="5">
        <v>783</v>
      </c>
      <c r="B844" s="138">
        <f>'Expenditures 15-22'!E44</f>
        <v>6251</v>
      </c>
      <c r="D844" s="2" t="str">
        <f t="shared" si="12"/>
        <v>Error?</v>
      </c>
    </row>
    <row r="845" spans="1:4" x14ac:dyDescent="0.2">
      <c r="A845" s="5">
        <v>784</v>
      </c>
      <c r="B845" s="138">
        <f>'Expenditures 15-22'!E45</f>
        <v>250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6501</v>
      </c>
      <c r="C847" s="2" t="s">
        <v>594</v>
      </c>
      <c r="D847" s="2" t="str">
        <f t="shared" si="12"/>
        <v>Error?</v>
      </c>
    </row>
    <row r="848" spans="1:4" x14ac:dyDescent="0.2">
      <c r="A848" s="5">
        <v>787</v>
      </c>
      <c r="B848" s="138">
        <f>'Expenditures 15-22'!E49</f>
        <v>3898</v>
      </c>
      <c r="D848" s="2" t="str">
        <f t="shared" si="12"/>
        <v>Error?</v>
      </c>
    </row>
    <row r="849" spans="1:4" x14ac:dyDescent="0.2">
      <c r="A849" s="5">
        <v>788</v>
      </c>
      <c r="B849" s="138">
        <f>'Expenditures 15-22'!E50</f>
        <v>4145</v>
      </c>
      <c r="D849" s="2" t="str">
        <f t="shared" si="12"/>
        <v>Error?</v>
      </c>
    </row>
    <row r="850" spans="1:4" x14ac:dyDescent="0.2">
      <c r="A850" s="5">
        <v>789</v>
      </c>
      <c r="B850" s="138">
        <f>'Expenditures 15-22'!E53</f>
        <v>8043</v>
      </c>
      <c r="C850" s="2" t="s">
        <v>594</v>
      </c>
      <c r="D850" s="2" t="str">
        <f t="shared" si="12"/>
        <v>Error?</v>
      </c>
    </row>
    <row r="851" spans="1:4" x14ac:dyDescent="0.2">
      <c r="A851" s="5">
        <v>790</v>
      </c>
      <c r="B851" s="138">
        <f>'Expenditures 15-22'!E55</f>
        <v>7487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7487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11455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4788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16243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1701</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1701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120330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240186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99371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31179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140265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2249</v>
      </c>
      <c r="D896" s="2" t="str">
        <f t="shared" si="13"/>
        <v>Error?</v>
      </c>
    </row>
    <row r="897" spans="1:4" x14ac:dyDescent="0.2">
      <c r="A897" s="5">
        <v>836</v>
      </c>
      <c r="B897" s="138">
        <f>'Expenditures 15-22'!F38</f>
        <v>1069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866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4184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2077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2077</v>
      </c>
      <c r="C905" s="2" t="s">
        <v>594</v>
      </c>
      <c r="D905" s="2" t="str">
        <f t="shared" si="13"/>
        <v>Error?</v>
      </c>
    </row>
    <row r="906" spans="1:4" x14ac:dyDescent="0.2">
      <c r="A906" s="5">
        <v>845</v>
      </c>
      <c r="B906" s="138">
        <f>'Expenditures 15-22'!F49</f>
        <v>467</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467</v>
      </c>
      <c r="C908" s="2" t="s">
        <v>594</v>
      </c>
      <c r="D908" s="2" t="str">
        <f t="shared" si="13"/>
        <v>Error?</v>
      </c>
    </row>
    <row r="909" spans="1:4" x14ac:dyDescent="0.2">
      <c r="A909" s="5">
        <v>848</v>
      </c>
      <c r="B909" s="138">
        <f>'Expenditures 15-22'!F55</f>
        <v>8379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8379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2547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75186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77733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92840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233105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3605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2513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6118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6118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2760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5442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2977</v>
      </c>
      <c r="D1022" s="2" t="str">
        <f t="shared" si="14"/>
        <v>Error?</v>
      </c>
    </row>
    <row r="1023" spans="1:4" x14ac:dyDescent="0.2">
      <c r="A1023" s="5">
        <v>962</v>
      </c>
      <c r="B1023" s="138">
        <f>'Expenditures 15-22'!H50</f>
        <v>887</v>
      </c>
      <c r="D1023" s="2" t="str">
        <f t="shared" ref="D1023:D1086" si="15">IF(ISBLANK(B1023),"OK",IF(A1023-B1023=0,"OK","Error?"))</f>
        <v>Error?</v>
      </c>
    </row>
    <row r="1024" spans="1:4" x14ac:dyDescent="0.2">
      <c r="A1024" s="5">
        <v>963</v>
      </c>
      <c r="B1024" s="138">
        <f>'Expenditures 15-22'!H53</f>
        <v>3864</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4449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51693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61584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1769204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133613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2306138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65096</v>
      </c>
      <c r="C1110" s="2" t="s">
        <v>594</v>
      </c>
      <c r="D1110" s="2" t="str">
        <f t="shared" si="16"/>
        <v>Error?</v>
      </c>
    </row>
    <row r="1111" spans="1:4" x14ac:dyDescent="0.2">
      <c r="A1111" s="5">
        <v>1050</v>
      </c>
      <c r="B1111" s="138">
        <f>'Expenditures 15-22'!K38</f>
        <v>23697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78089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166882</v>
      </c>
      <c r="C1115" s="2" t="s">
        <v>594</v>
      </c>
      <c r="D1115" s="2" t="str">
        <f t="shared" si="16"/>
        <v>Error?</v>
      </c>
    </row>
    <row r="1116" spans="1:4" x14ac:dyDescent="0.2">
      <c r="A1116" s="5">
        <v>1055</v>
      </c>
      <c r="B1116" s="138">
        <f>'Expenditures 15-22'!K44</f>
        <v>30120</v>
      </c>
      <c r="C1116" s="2" t="s">
        <v>594</v>
      </c>
      <c r="D1116" s="2" t="str">
        <f t="shared" si="16"/>
        <v>Error?</v>
      </c>
    </row>
    <row r="1117" spans="1:4" x14ac:dyDescent="0.2">
      <c r="A1117" s="5">
        <v>1056</v>
      </c>
      <c r="B1117" s="138">
        <f>'Expenditures 15-22'!K45</f>
        <v>29482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59602</v>
      </c>
      <c r="C1119" s="2" t="s">
        <v>594</v>
      </c>
      <c r="D1119" s="2" t="str">
        <f t="shared" si="16"/>
        <v>Error?</v>
      </c>
    </row>
    <row r="1120" spans="1:4" x14ac:dyDescent="0.2">
      <c r="A1120" s="5">
        <v>1059</v>
      </c>
      <c r="B1120" s="138">
        <f>'Expenditures 15-22'!K49</f>
        <v>10042</v>
      </c>
      <c r="C1120" s="2" t="s">
        <v>594</v>
      </c>
      <c r="D1120" s="2" t="str">
        <f t="shared" si="16"/>
        <v>Error?</v>
      </c>
    </row>
    <row r="1121" spans="1:4" x14ac:dyDescent="0.2">
      <c r="A1121" s="5">
        <v>1060</v>
      </c>
      <c r="B1121" s="138">
        <f>'Expenditures 15-22'!K50</f>
        <v>120816</v>
      </c>
      <c r="C1121" s="2" t="s">
        <v>594</v>
      </c>
      <c r="D1121" s="2" t="str">
        <f t="shared" si="16"/>
        <v>Error?</v>
      </c>
    </row>
    <row r="1122" spans="1:4" x14ac:dyDescent="0.2">
      <c r="A1122" s="5">
        <v>1061</v>
      </c>
      <c r="B1122" s="138">
        <f>'Expenditures 15-22'!K53</f>
        <v>130858</v>
      </c>
      <c r="C1122" s="2" t="s">
        <v>594</v>
      </c>
      <c r="D1122" s="2" t="str">
        <f t="shared" si="16"/>
        <v>Error?</v>
      </c>
    </row>
    <row r="1123" spans="1:4" x14ac:dyDescent="0.2">
      <c r="A1123" s="5">
        <v>1062</v>
      </c>
      <c r="B1123" s="138">
        <f>'Expenditures 15-22'!K55</f>
        <v>235477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235477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74801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161619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236420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1701</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1701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830940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51693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3188771</v>
      </c>
      <c r="C1152" s="2" t="s">
        <v>594</v>
      </c>
      <c r="D1152" s="2" t="str">
        <f t="shared" si="17"/>
        <v>Error?</v>
      </c>
    </row>
    <row r="1153" spans="1:4" x14ac:dyDescent="0.2">
      <c r="A1153" s="5">
        <v>1092</v>
      </c>
      <c r="B1153" s="138">
        <f>'Expenditures 15-22'!K115</f>
        <v>101565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233440</v>
      </c>
      <c r="D1221" s="2" t="str">
        <f t="shared" si="18"/>
        <v>Error?</v>
      </c>
    </row>
    <row r="1222" spans="1:4" x14ac:dyDescent="0.2">
      <c r="A1222" s="10">
        <v>1161</v>
      </c>
      <c r="D1222" s="2" t="str">
        <f t="shared" si="18"/>
        <v>OK</v>
      </c>
    </row>
    <row r="1223" spans="1:4" x14ac:dyDescent="0.2">
      <c r="A1223" s="5">
        <v>1162</v>
      </c>
      <c r="B1223" s="138">
        <f>'Expenditures 15-22'!C127</f>
        <v>233440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233440</v>
      </c>
      <c r="C1225" s="2" t="s">
        <v>594</v>
      </c>
      <c r="D1225" s="2" t="str">
        <f t="shared" si="18"/>
        <v>Error?</v>
      </c>
    </row>
    <row r="1226" spans="1:4" x14ac:dyDescent="0.2">
      <c r="A1226" s="5">
        <v>1165</v>
      </c>
      <c r="B1226" s="138">
        <f>'Expenditures 15-22'!C151</f>
        <v>233440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19689</v>
      </c>
      <c r="D1229" s="2" t="str">
        <f t="shared" si="18"/>
        <v>Error?</v>
      </c>
    </row>
    <row r="1230" spans="1:4" x14ac:dyDescent="0.2">
      <c r="A1230" s="10">
        <v>1169</v>
      </c>
      <c r="D1230" s="2" t="str">
        <f t="shared" si="18"/>
        <v>OK</v>
      </c>
    </row>
    <row r="1231" spans="1:4" x14ac:dyDescent="0.2">
      <c r="A1231" s="5">
        <v>1170</v>
      </c>
      <c r="B1231" s="138">
        <f>'Expenditures 15-22'!D127</f>
        <v>19689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19689</v>
      </c>
      <c r="C1233" s="2" t="s">
        <v>594</v>
      </c>
      <c r="D1233" s="2" t="str">
        <f t="shared" si="18"/>
        <v>Error?</v>
      </c>
    </row>
    <row r="1234" spans="1:4" x14ac:dyDescent="0.2">
      <c r="A1234" s="5">
        <v>1173</v>
      </c>
      <c r="B1234" s="138">
        <f>'Expenditures 15-22'!D151</f>
        <v>19689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78949</v>
      </c>
      <c r="D1237" s="2" t="str">
        <f t="shared" si="18"/>
        <v>Error?</v>
      </c>
    </row>
    <row r="1238" spans="1:4" x14ac:dyDescent="0.2">
      <c r="A1238" s="10">
        <v>1177</v>
      </c>
      <c r="D1238" s="2" t="str">
        <f t="shared" si="18"/>
        <v>OK</v>
      </c>
    </row>
    <row r="1239" spans="1:4" x14ac:dyDescent="0.2">
      <c r="A1239" s="5">
        <v>1178</v>
      </c>
      <c r="B1239" s="138">
        <f>'Expenditures 15-22'!E127</f>
        <v>78949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78949</v>
      </c>
      <c r="C1241" s="2" t="s">
        <v>594</v>
      </c>
      <c r="D1241" s="2" t="str">
        <f t="shared" si="18"/>
        <v>Error?</v>
      </c>
    </row>
    <row r="1242" spans="1:4" x14ac:dyDescent="0.2">
      <c r="A1242" s="5">
        <v>1181</v>
      </c>
      <c r="B1242" s="138">
        <f>'Expenditures 15-22'!E151</f>
        <v>78949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162150</v>
      </c>
      <c r="D1245" s="2" t="str">
        <f t="shared" si="18"/>
        <v>Error?</v>
      </c>
    </row>
    <row r="1246" spans="1:4" x14ac:dyDescent="0.2">
      <c r="A1246" s="10">
        <v>1185</v>
      </c>
      <c r="D1246" s="2" t="str">
        <f t="shared" si="18"/>
        <v>OK</v>
      </c>
    </row>
    <row r="1247" spans="1:4" x14ac:dyDescent="0.2">
      <c r="A1247" s="5">
        <v>1186</v>
      </c>
      <c r="B1247" s="138">
        <f>'Expenditures 15-22'!F127</f>
        <v>162150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162150</v>
      </c>
      <c r="C1249" s="2" t="s">
        <v>594</v>
      </c>
      <c r="D1249" s="2" t="str">
        <f t="shared" si="18"/>
        <v>Error?</v>
      </c>
    </row>
    <row r="1250" spans="1:4" x14ac:dyDescent="0.2">
      <c r="A1250" s="5">
        <v>1189</v>
      </c>
      <c r="B1250" s="138">
        <f>'Expenditures 15-22'!F151</f>
        <v>162150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16423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16423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16423</v>
      </c>
      <c r="C1258" s="2" t="s">
        <v>594</v>
      </c>
      <c r="D1258" s="2" t="str">
        <f t="shared" si="18"/>
        <v>Error?</v>
      </c>
    </row>
    <row r="1259" spans="1:4" x14ac:dyDescent="0.2">
      <c r="A1259" s="5">
        <v>1198</v>
      </c>
      <c r="B1259" s="138">
        <f>'Expenditures 15-22'!G151</f>
        <v>16423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512151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512151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512151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512151</v>
      </c>
      <c r="C1288" s="2" t="s">
        <v>594</v>
      </c>
      <c r="D1288" s="2" t="str">
        <f t="shared" si="19"/>
        <v>Error?</v>
      </c>
    </row>
    <row r="1289" spans="1:4" x14ac:dyDescent="0.2">
      <c r="A1289" s="5">
        <v>1228</v>
      </c>
      <c r="B1289" s="138">
        <f>'Expenditures 15-22'!K152</f>
        <v>42941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104634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735000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841134</v>
      </c>
      <c r="C1317" s="2" t="s">
        <v>594</v>
      </c>
      <c r="D1317" s="2" t="str">
        <f t="shared" si="19"/>
        <v>Error?</v>
      </c>
    </row>
    <row r="1318" spans="1:4" x14ac:dyDescent="0.2">
      <c r="A1318" s="5">
        <v>1257</v>
      </c>
      <c r="B1318" s="138">
        <f>'Expenditures 15-22'!H174</f>
        <v>841134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104634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735000</v>
      </c>
      <c r="C1329" s="2" t="s">
        <v>594</v>
      </c>
      <c r="D1329" s="2" t="str">
        <f t="shared" si="19"/>
        <v>Error?</v>
      </c>
    </row>
    <row r="1330" spans="1:4" x14ac:dyDescent="0.2">
      <c r="A1330" s="5">
        <v>1269</v>
      </c>
      <c r="B1330" s="138">
        <f>'Expenditures 15-22'!K171</f>
        <v>1500</v>
      </c>
      <c r="C1330" s="2" t="s">
        <v>594</v>
      </c>
      <c r="D1330" s="2" t="str">
        <f t="shared" si="19"/>
        <v>Error?</v>
      </c>
    </row>
    <row r="1331" spans="1:4" x14ac:dyDescent="0.2">
      <c r="A1331" s="5">
        <v>1270</v>
      </c>
      <c r="B1331" s="138">
        <f>'Expenditures 15-22'!K172</f>
        <v>841134</v>
      </c>
      <c r="C1331" s="2" t="s">
        <v>594</v>
      </c>
      <c r="D1331" s="2" t="str">
        <f t="shared" si="19"/>
        <v>Error?</v>
      </c>
    </row>
    <row r="1332" spans="1:4" x14ac:dyDescent="0.2">
      <c r="A1332" s="5">
        <v>1271</v>
      </c>
      <c r="B1332" s="138">
        <f>'Expenditures 15-22'!K174</f>
        <v>841134</v>
      </c>
      <c r="C1332" s="2" t="s">
        <v>594</v>
      </c>
      <c r="D1332" s="2" t="str">
        <f t="shared" si="19"/>
        <v>Error?</v>
      </c>
    </row>
    <row r="1333" spans="1:4" x14ac:dyDescent="0.2">
      <c r="A1333" s="5">
        <v>1272</v>
      </c>
      <c r="B1333" s="138">
        <f>'Expenditures 15-22'!K175</f>
        <v>-45129</v>
      </c>
      <c r="C1333" s="2" t="s">
        <v>594</v>
      </c>
      <c r="D1333" s="2" t="str">
        <f t="shared" si="19"/>
        <v>Error?</v>
      </c>
    </row>
    <row r="1334" spans="1:4" x14ac:dyDescent="0.2">
      <c r="A1334" s="10">
        <v>1273</v>
      </c>
      <c r="D1334" s="2" t="str">
        <f t="shared" si="19"/>
        <v>OK</v>
      </c>
    </row>
    <row r="1335" spans="1:4" x14ac:dyDescent="0.2">
      <c r="A1335" s="5">
        <v>1274</v>
      </c>
      <c r="B1335" s="138">
        <f>'Expenditures 15-22'!C182</f>
        <v>151055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151055</v>
      </c>
      <c r="C1339" s="2" t="s">
        <v>594</v>
      </c>
      <c r="D1339" s="2" t="str">
        <f t="shared" si="19"/>
        <v>Error?</v>
      </c>
    </row>
    <row r="1340" spans="1:4" x14ac:dyDescent="0.2">
      <c r="A1340" s="5">
        <v>1279</v>
      </c>
      <c r="B1340" s="138">
        <f>'Expenditures 15-22'!C210</f>
        <v>151055</v>
      </c>
      <c r="C1340" s="2" t="s">
        <v>594</v>
      </c>
      <c r="D1340" s="2" t="str">
        <f t="shared" si="19"/>
        <v>Error?</v>
      </c>
    </row>
    <row r="1341" spans="1:4" x14ac:dyDescent="0.2">
      <c r="A1341" s="5">
        <v>1280</v>
      </c>
      <c r="B1341" s="138">
        <f>'Expenditures 15-22'!D182</f>
        <v>24199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24199</v>
      </c>
      <c r="C1345" s="2" t="s">
        <v>594</v>
      </c>
      <c r="D1345" s="2" t="str">
        <f t="shared" si="20"/>
        <v>Error?</v>
      </c>
    </row>
    <row r="1346" spans="1:4" x14ac:dyDescent="0.2">
      <c r="A1346" s="5">
        <v>1285</v>
      </c>
      <c r="B1346" s="138">
        <f>'Expenditures 15-22'!D210</f>
        <v>24199</v>
      </c>
      <c r="C1346" s="2" t="s">
        <v>594</v>
      </c>
      <c r="D1346" s="2" t="str">
        <f t="shared" si="20"/>
        <v>Error?</v>
      </c>
    </row>
    <row r="1347" spans="1:4" x14ac:dyDescent="0.2">
      <c r="A1347" s="5">
        <v>1286</v>
      </c>
      <c r="B1347" s="138">
        <f>'Expenditures 15-22'!E182</f>
        <v>149023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149023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149023</v>
      </c>
      <c r="C1353" s="2" t="s">
        <v>594</v>
      </c>
      <c r="D1353" s="2" t="str">
        <f t="shared" si="20"/>
        <v>Error?</v>
      </c>
    </row>
    <row r="1354" spans="1:4" x14ac:dyDescent="0.2">
      <c r="A1354" s="5">
        <v>1293</v>
      </c>
      <c r="B1354" s="138">
        <f>'Expenditures 15-22'!F182</f>
        <v>60325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60325</v>
      </c>
      <c r="C1358" s="2" t="s">
        <v>594</v>
      </c>
      <c r="D1358" s="2" t="str">
        <f t="shared" si="20"/>
        <v>Error?</v>
      </c>
    </row>
    <row r="1359" spans="1:4" x14ac:dyDescent="0.2">
      <c r="A1359" s="5">
        <v>1298</v>
      </c>
      <c r="B1359" s="138">
        <f>'Expenditures 15-22'!F210</f>
        <v>60325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1009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1009</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1009</v>
      </c>
      <c r="C1376" s="2" t="s">
        <v>594</v>
      </c>
      <c r="D1376" s="2" t="str">
        <f t="shared" si="20"/>
        <v>Error?</v>
      </c>
    </row>
    <row r="1377" spans="1:4" x14ac:dyDescent="0.2">
      <c r="A1377" s="5">
        <v>1316</v>
      </c>
      <c r="B1377" s="138">
        <f>'Expenditures 15-22'!K182</f>
        <v>385611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385611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385611</v>
      </c>
      <c r="C1388" s="2" t="s">
        <v>594</v>
      </c>
      <c r="D1388" s="2" t="str">
        <f t="shared" si="20"/>
        <v>Error?</v>
      </c>
    </row>
    <row r="1389" spans="1:4" x14ac:dyDescent="0.2">
      <c r="A1389" s="5">
        <v>1328</v>
      </c>
      <c r="B1389" s="138">
        <f>'Expenditures 15-22'!K211</f>
        <v>14866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3158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37169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653</v>
      </c>
      <c r="D1412" s="2" t="str">
        <f t="shared" si="21"/>
        <v>Error?</v>
      </c>
    </row>
    <row r="1413" spans="1:4" x14ac:dyDescent="0.2">
      <c r="A1413" s="5">
        <v>1352</v>
      </c>
      <c r="B1413" s="138">
        <f>'Expenditures 15-22'!D234</f>
        <v>4035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4688</v>
      </c>
      <c r="C1417" s="2" t="s">
        <v>594</v>
      </c>
      <c r="D1417" s="2" t="str">
        <f t="shared" si="21"/>
        <v>Error?</v>
      </c>
    </row>
    <row r="1418" spans="1:4" x14ac:dyDescent="0.2">
      <c r="A1418" s="5">
        <v>1357</v>
      </c>
      <c r="B1418" s="138">
        <f>'Expenditures 15-22'!D240</f>
        <v>2125</v>
      </c>
      <c r="D1418" s="2" t="str">
        <f t="shared" si="21"/>
        <v>Error?</v>
      </c>
    </row>
    <row r="1419" spans="1:4" x14ac:dyDescent="0.2">
      <c r="A1419" s="5">
        <v>1358</v>
      </c>
      <c r="B1419" s="138">
        <f>'Expenditures 15-22'!D241</f>
        <v>2252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4377</v>
      </c>
      <c r="C1421" s="2" t="s">
        <v>594</v>
      </c>
      <c r="D1421" s="2" t="str">
        <f t="shared" si="21"/>
        <v>Error?</v>
      </c>
    </row>
    <row r="1422" spans="1:4" x14ac:dyDescent="0.2">
      <c r="A1422" s="5">
        <v>1361</v>
      </c>
      <c r="B1422" s="138">
        <f>'Expenditures 15-22'!D245</f>
        <v>292</v>
      </c>
      <c r="D1422" s="2" t="str">
        <f t="shared" si="21"/>
        <v>Error?</v>
      </c>
    </row>
    <row r="1423" spans="1:4" x14ac:dyDescent="0.2">
      <c r="A1423" s="5">
        <v>1362</v>
      </c>
      <c r="B1423" s="138">
        <f>'Expenditures 15-22'!D246</f>
        <v>1404</v>
      </c>
      <c r="D1423" s="2" t="str">
        <f t="shared" si="21"/>
        <v>Error?</v>
      </c>
    </row>
    <row r="1424" spans="1:4" x14ac:dyDescent="0.2">
      <c r="A1424" s="5">
        <v>1363</v>
      </c>
      <c r="B1424" s="138">
        <f>'Expenditures 15-22'!D257</f>
        <v>44623</v>
      </c>
      <c r="C1424" s="2" t="s">
        <v>594</v>
      </c>
      <c r="D1424" s="2" t="str">
        <f t="shared" si="21"/>
        <v>Error?</v>
      </c>
    </row>
    <row r="1425" spans="1:4" x14ac:dyDescent="0.2">
      <c r="A1425" s="5">
        <v>1364</v>
      </c>
      <c r="B1425" s="138">
        <f>'Expenditures 15-22'!D259</f>
        <v>22832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22832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9948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48623</v>
      </c>
      <c r="D1431" s="2" t="str">
        <f t="shared" si="21"/>
        <v>Error?</v>
      </c>
    </row>
    <row r="1432" spans="1:4" x14ac:dyDescent="0.2">
      <c r="A1432" s="5">
        <v>1371</v>
      </c>
      <c r="B1432" s="138">
        <f>'Expenditures 15-22'!D267</f>
        <v>31404</v>
      </c>
      <c r="D1432" s="2" t="str">
        <f t="shared" si="21"/>
        <v>Error?</v>
      </c>
    </row>
    <row r="1433" spans="1:4" x14ac:dyDescent="0.2">
      <c r="A1433" s="5">
        <v>1372</v>
      </c>
      <c r="B1433" s="138">
        <f>'Expenditures 15-22'!D268</f>
        <v>13849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103824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1138</v>
      </c>
      <c r="D1445" s="2" t="str">
        <f t="shared" si="21"/>
        <v>Error?</v>
      </c>
    </row>
    <row r="1446" spans="1:4" x14ac:dyDescent="0.2">
      <c r="A1446" s="5">
        <v>1385</v>
      </c>
      <c r="B1446" s="138">
        <f>'Expenditures 15-22'!D279</f>
        <v>181482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218651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3158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37169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653</v>
      </c>
      <c r="C1476" s="2" t="s">
        <v>594</v>
      </c>
      <c r="D1476" s="2" t="str">
        <f t="shared" si="22"/>
        <v>Error?</v>
      </c>
    </row>
    <row r="1477" spans="1:4" x14ac:dyDescent="0.2">
      <c r="A1477" s="5">
        <v>1416</v>
      </c>
      <c r="B1477" s="138">
        <f>'Expenditures 15-22'!K234</f>
        <v>4035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4688</v>
      </c>
      <c r="C1481" s="2" t="s">
        <v>594</v>
      </c>
      <c r="D1481" s="2" t="str">
        <f t="shared" si="22"/>
        <v>Error?</v>
      </c>
    </row>
    <row r="1482" spans="1:4" x14ac:dyDescent="0.2">
      <c r="A1482" s="5">
        <v>1421</v>
      </c>
      <c r="B1482" s="138">
        <f>'Expenditures 15-22'!K240</f>
        <v>2125</v>
      </c>
      <c r="C1482" s="2" t="s">
        <v>594</v>
      </c>
      <c r="D1482" s="2" t="str">
        <f t="shared" si="22"/>
        <v>Error?</v>
      </c>
    </row>
    <row r="1483" spans="1:4" x14ac:dyDescent="0.2">
      <c r="A1483" s="5">
        <v>1422</v>
      </c>
      <c r="B1483" s="138">
        <f>'Expenditures 15-22'!K241</f>
        <v>2252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4377</v>
      </c>
      <c r="C1485" s="2" t="s">
        <v>594</v>
      </c>
      <c r="D1485" s="2" t="str">
        <f t="shared" si="22"/>
        <v>Error?</v>
      </c>
    </row>
    <row r="1486" spans="1:4" x14ac:dyDescent="0.2">
      <c r="A1486" s="5">
        <v>1425</v>
      </c>
      <c r="B1486" s="138">
        <f>'Expenditures 15-22'!K245</f>
        <v>292</v>
      </c>
      <c r="C1486" s="2" t="s">
        <v>594</v>
      </c>
      <c r="D1486" s="2" t="str">
        <f t="shared" si="22"/>
        <v>Error?</v>
      </c>
    </row>
    <row r="1487" spans="1:4" x14ac:dyDescent="0.2">
      <c r="A1487" s="5">
        <v>1426</v>
      </c>
      <c r="B1487" s="138">
        <f>'Expenditures 15-22'!K246</f>
        <v>1404</v>
      </c>
      <c r="C1487" s="2" t="s">
        <v>594</v>
      </c>
      <c r="D1487" s="2" t="str">
        <f t="shared" si="22"/>
        <v>Error?</v>
      </c>
    </row>
    <row r="1488" spans="1:4" x14ac:dyDescent="0.2">
      <c r="A1488" s="5">
        <v>1427</v>
      </c>
      <c r="B1488" s="138">
        <f>'Expenditures 15-22'!K257</f>
        <v>44623</v>
      </c>
      <c r="C1488" s="2" t="s">
        <v>594</v>
      </c>
      <c r="D1488" s="2" t="str">
        <f t="shared" si="22"/>
        <v>Error?</v>
      </c>
    </row>
    <row r="1489" spans="1:4" x14ac:dyDescent="0.2">
      <c r="A1489" s="5">
        <v>1428</v>
      </c>
      <c r="B1489" s="138">
        <f>'Expenditures 15-22'!K259</f>
        <v>22832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22832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9948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48623</v>
      </c>
      <c r="C1495" s="2" t="s">
        <v>594</v>
      </c>
      <c r="D1495" s="2" t="str">
        <f t="shared" si="22"/>
        <v>Error?</v>
      </c>
    </row>
    <row r="1496" spans="1:4" x14ac:dyDescent="0.2">
      <c r="A1496" s="5">
        <v>1435</v>
      </c>
      <c r="B1496" s="138">
        <f>'Expenditures 15-22'!K267</f>
        <v>31404</v>
      </c>
      <c r="C1496" s="2" t="s">
        <v>594</v>
      </c>
      <c r="D1496" s="2" t="str">
        <f t="shared" si="22"/>
        <v>Error?</v>
      </c>
    </row>
    <row r="1497" spans="1:4" x14ac:dyDescent="0.2">
      <c r="A1497" s="5">
        <v>1436</v>
      </c>
      <c r="B1497" s="138">
        <f>'Expenditures 15-22'!K268</f>
        <v>13849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103824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1138</v>
      </c>
      <c r="C1509" s="2" t="s">
        <v>594</v>
      </c>
      <c r="D1509" s="2" t="str">
        <f t="shared" si="22"/>
        <v>Error?</v>
      </c>
    </row>
    <row r="1510" spans="1:4" x14ac:dyDescent="0.2">
      <c r="A1510" s="5">
        <v>1449</v>
      </c>
      <c r="B1510" s="138">
        <f>'Expenditures 15-22'!K279</f>
        <v>181482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218651</v>
      </c>
      <c r="C1517" s="2" t="s">
        <v>594</v>
      </c>
      <c r="D1517" s="2" t="str">
        <f t="shared" si="22"/>
        <v>Error?</v>
      </c>
    </row>
    <row r="1518" spans="1:4" x14ac:dyDescent="0.2">
      <c r="A1518" s="5">
        <v>1457</v>
      </c>
      <c r="B1518" s="138">
        <f>'Expenditures 15-22'!K296</f>
        <v>69318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4555</v>
      </c>
      <c r="D1522" s="2" t="str">
        <f t="shared" si="22"/>
        <v>Error?</v>
      </c>
    </row>
    <row r="1523" spans="1:4" x14ac:dyDescent="0.2">
      <c r="A1523" s="5">
        <v>1462</v>
      </c>
      <c r="B1523" s="138">
        <f>'Expenditures 15-22'!C303</f>
        <v>4555</v>
      </c>
      <c r="C1523" s="2" t="s">
        <v>594</v>
      </c>
      <c r="D1523" s="2" t="str">
        <f t="shared" si="22"/>
        <v>Error?</v>
      </c>
    </row>
    <row r="1524" spans="1:4" x14ac:dyDescent="0.2">
      <c r="A1524" s="5">
        <v>1463</v>
      </c>
      <c r="B1524" s="138">
        <f>'Expenditures 15-22'!C312</f>
        <v>4555</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585</v>
      </c>
      <c r="D1528" s="2" t="str">
        <f t="shared" si="22"/>
        <v>Error?</v>
      </c>
    </row>
    <row r="1529" spans="1:4" x14ac:dyDescent="0.2">
      <c r="A1529" s="5">
        <v>1468</v>
      </c>
      <c r="B1529" s="138">
        <f>'Expenditures 15-22'!D303</f>
        <v>585</v>
      </c>
      <c r="C1529" s="2" t="s">
        <v>594</v>
      </c>
      <c r="D1529" s="2" t="str">
        <f t="shared" si="22"/>
        <v>Error?</v>
      </c>
    </row>
    <row r="1530" spans="1:4" x14ac:dyDescent="0.2">
      <c r="A1530" s="5">
        <v>1469</v>
      </c>
      <c r="B1530" s="138">
        <f>'Expenditures 15-22'!D312</f>
        <v>585</v>
      </c>
      <c r="C1530" s="2" t="s">
        <v>594</v>
      </c>
      <c r="D1530" s="2" t="str">
        <f t="shared" si="22"/>
        <v>Error?</v>
      </c>
    </row>
    <row r="1531" spans="1:4" x14ac:dyDescent="0.2">
      <c r="A1531" s="5">
        <v>1470</v>
      </c>
      <c r="B1531" s="138">
        <f>'Expenditures 15-22'!E301</f>
        <v>46936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46936</v>
      </c>
      <c r="C1535" s="2" t="s">
        <v>594</v>
      </c>
      <c r="D1535" s="2" t="str">
        <f t="shared" ref="D1535:D1598" si="23">IF(ISBLANK(B1535),"OK",IF(A1535-B1535=0,"OK","Error?"))</f>
        <v>Error?</v>
      </c>
    </row>
    <row r="1536" spans="1:4" x14ac:dyDescent="0.2">
      <c r="A1536" s="5">
        <v>1475</v>
      </c>
      <c r="B1536" s="138">
        <f>'Expenditures 15-22'!E312</f>
        <v>46936</v>
      </c>
      <c r="C1536" s="2" t="s">
        <v>594</v>
      </c>
      <c r="D1536" s="2" t="str">
        <f t="shared" si="23"/>
        <v>Error?</v>
      </c>
    </row>
    <row r="1537" spans="1:4" x14ac:dyDescent="0.2">
      <c r="A1537" s="5">
        <v>1476</v>
      </c>
      <c r="B1537" s="138">
        <f>'Expenditures 15-22'!F301</f>
        <v>12742</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12742</v>
      </c>
      <c r="C1541" s="2" t="s">
        <v>594</v>
      </c>
      <c r="D1541" s="2" t="str">
        <f t="shared" si="23"/>
        <v>Error?</v>
      </c>
    </row>
    <row r="1542" spans="1:4" x14ac:dyDescent="0.2">
      <c r="A1542" s="5">
        <v>1481</v>
      </c>
      <c r="B1542" s="138">
        <f>'Expenditures 15-22'!F312</f>
        <v>12742</v>
      </c>
      <c r="C1542" s="2" t="s">
        <v>594</v>
      </c>
      <c r="D1542" s="2" t="str">
        <f t="shared" si="23"/>
        <v>Error?</v>
      </c>
    </row>
    <row r="1543" spans="1:4" x14ac:dyDescent="0.2">
      <c r="A1543" s="5">
        <v>1482</v>
      </c>
      <c r="B1543" s="138">
        <f>'Expenditures 15-22'!G301</f>
        <v>212868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212868</v>
      </c>
      <c r="C1547" s="2" t="s">
        <v>594</v>
      </c>
      <c r="D1547" s="2" t="str">
        <f t="shared" si="23"/>
        <v>Error?</v>
      </c>
    </row>
    <row r="1548" spans="1:4" x14ac:dyDescent="0.2">
      <c r="A1548" s="5">
        <v>1487</v>
      </c>
      <c r="B1548" s="138">
        <f>'Expenditures 15-22'!G312</f>
        <v>212868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272546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5140</v>
      </c>
      <c r="C1558" s="2" t="s">
        <v>594</v>
      </c>
      <c r="D1558" s="2" t="str">
        <f t="shared" si="23"/>
        <v>Error?</v>
      </c>
    </row>
    <row r="1559" spans="1:4" x14ac:dyDescent="0.2">
      <c r="A1559" s="5">
        <v>1498</v>
      </c>
      <c r="B1559" s="138">
        <f>'Expenditures 15-22'!K303</f>
        <v>277686</v>
      </c>
      <c r="C1559" s="2" t="s">
        <v>594</v>
      </c>
      <c r="D1559" s="2" t="str">
        <f t="shared" si="23"/>
        <v>Error?</v>
      </c>
    </row>
    <row r="1560" spans="1:4" x14ac:dyDescent="0.2">
      <c r="A1560" s="5">
        <v>1499</v>
      </c>
      <c r="B1560" s="138">
        <f>'Expenditures 15-22'!K312</f>
        <v>277686</v>
      </c>
      <c r="C1560" s="2" t="s">
        <v>594</v>
      </c>
      <c r="D1560" s="2" t="str">
        <f t="shared" si="23"/>
        <v>Error?</v>
      </c>
    </row>
    <row r="1561" spans="1:4" x14ac:dyDescent="0.2">
      <c r="A1561" s="5">
        <v>1500</v>
      </c>
      <c r="B1561" s="138">
        <f>'Expenditures 15-22'!K313</f>
        <v>39572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1306023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1407588</v>
      </c>
      <c r="C1630" s="2" t="s">
        <v>594</v>
      </c>
      <c r="D1630" s="2" t="str">
        <f t="shared" si="24"/>
        <v>Error?</v>
      </c>
    </row>
    <row r="1631" spans="1:4" x14ac:dyDescent="0.2">
      <c r="A1631" s="5">
        <v>1570</v>
      </c>
      <c r="B1631" s="138">
        <f>'Acct Summary 7-8'!D79</f>
        <v>669267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712208</v>
      </c>
      <c r="C1644" s="2" t="s">
        <v>594</v>
      </c>
      <c r="D1644" s="2" t="str">
        <f t="shared" si="24"/>
        <v>Error?</v>
      </c>
    </row>
    <row r="1645" spans="1:4" x14ac:dyDescent="0.2">
      <c r="A1645" s="5">
        <v>1584</v>
      </c>
      <c r="B1645" s="138">
        <f>'Acct Summary 7-8'!E79</f>
        <v>359201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314072</v>
      </c>
      <c r="C1658" s="2" t="s">
        <v>594</v>
      </c>
      <c r="D1658" s="2" t="str">
        <f t="shared" si="24"/>
        <v>Error?</v>
      </c>
    </row>
    <row r="1659" spans="1:4" x14ac:dyDescent="0.2">
      <c r="A1659" s="5">
        <v>1598</v>
      </c>
      <c r="B1659" s="138">
        <f>'Acct Summary 7-8'!F79</f>
        <v>351462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366328</v>
      </c>
      <c r="C1672" s="2" t="s">
        <v>594</v>
      </c>
      <c r="D1672" s="2" t="str">
        <f t="shared" si="25"/>
        <v>Error?</v>
      </c>
    </row>
    <row r="1673" spans="1:4" x14ac:dyDescent="0.2">
      <c r="A1673" s="5">
        <v>1612</v>
      </c>
      <c r="B1673" s="138">
        <f>'Acct Summary 7-8'!G79</f>
        <v>97203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166521</v>
      </c>
      <c r="C1686" s="2" t="s">
        <v>594</v>
      </c>
      <c r="D1686" s="2" t="str">
        <f t="shared" si="25"/>
        <v>Error?</v>
      </c>
    </row>
    <row r="1687" spans="1:4" x14ac:dyDescent="0.2">
      <c r="A1687" s="5">
        <v>1626</v>
      </c>
      <c r="B1687" s="138">
        <f>'Acct Summary 7-8'!H79</f>
        <v>538762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578334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2104745</v>
      </c>
      <c r="C1744" s="2" t="s">
        <v>594</v>
      </c>
      <c r="D1744" s="2" t="str">
        <f t="shared" si="26"/>
        <v>Error?</v>
      </c>
    </row>
    <row r="1745" spans="1:5" x14ac:dyDescent="0.2">
      <c r="A1745" s="5">
        <v>1684</v>
      </c>
      <c r="B1745" s="138">
        <f>'Tax Sched 23'!B5</f>
        <v>438405</v>
      </c>
      <c r="C1745" s="2" t="s">
        <v>594</v>
      </c>
      <c r="D1745" s="2" t="str">
        <f t="shared" si="26"/>
        <v>Error?</v>
      </c>
    </row>
    <row r="1746" spans="1:5" x14ac:dyDescent="0.2">
      <c r="A1746" s="5">
        <v>1685</v>
      </c>
      <c r="B1746" s="138">
        <f>'Tax Sched 23'!B6</f>
        <v>795182</v>
      </c>
      <c r="C1746" s="2" t="s">
        <v>594</v>
      </c>
      <c r="D1746" s="2" t="str">
        <f t="shared" si="26"/>
        <v>Error?</v>
      </c>
    </row>
    <row r="1747" spans="1:5" x14ac:dyDescent="0.2">
      <c r="A1747" s="5">
        <v>1686</v>
      </c>
      <c r="B1747" s="138">
        <f>'Tax Sched 23'!B7</f>
        <v>175318</v>
      </c>
      <c r="C1747" s="2" t="s">
        <v>594</v>
      </c>
      <c r="D1747" s="2" t="str">
        <f t="shared" si="26"/>
        <v>Error?</v>
      </c>
    </row>
    <row r="1748" spans="1:5" x14ac:dyDescent="0.2">
      <c r="A1748" s="5">
        <v>1687</v>
      </c>
      <c r="B1748" s="138">
        <f>'Tax Sched 23'!B8</f>
        <v>142779</v>
      </c>
      <c r="C1748" s="2" t="s">
        <v>594</v>
      </c>
      <c r="D1748" s="2" t="str">
        <f t="shared" si="26"/>
        <v>Error?</v>
      </c>
    </row>
    <row r="1749" spans="1:5" x14ac:dyDescent="0.2">
      <c r="A1749" s="5">
        <v>1688</v>
      </c>
      <c r="B1749" s="138">
        <f>'Tax Sched 23'!B10</f>
        <v>43884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630469</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35053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4552769</v>
      </c>
      <c r="C1759" s="2" t="s">
        <v>594</v>
      </c>
      <c r="D1759" s="2" t="str">
        <f t="shared" si="26"/>
        <v>Error?</v>
      </c>
    </row>
    <row r="1760" spans="1:5" x14ac:dyDescent="0.2">
      <c r="A1760" s="5">
        <v>1699</v>
      </c>
      <c r="B1760" s="138">
        <f>'Tax Sched 23'!D4</f>
        <v>1064972</v>
      </c>
      <c r="C1760" s="2" t="s">
        <v>594</v>
      </c>
      <c r="D1760" s="2" t="str">
        <f t="shared" si="26"/>
        <v>Error?</v>
      </c>
    </row>
    <row r="1761" spans="1:5" x14ac:dyDescent="0.2">
      <c r="A1761" s="5">
        <v>1700</v>
      </c>
      <c r="B1761" s="138">
        <f>'Tax Sched 23'!D5</f>
        <v>221813</v>
      </c>
      <c r="C1761" s="2" t="s">
        <v>594</v>
      </c>
      <c r="D1761" s="2" t="str">
        <f t="shared" si="26"/>
        <v>Error?</v>
      </c>
    </row>
    <row r="1762" spans="1:5" s="8" customFormat="1" x14ac:dyDescent="0.2">
      <c r="A1762" s="5">
        <v>1701</v>
      </c>
      <c r="B1762" s="138">
        <f>'Tax Sched 23'!D6</f>
        <v>407573</v>
      </c>
      <c r="C1762" s="2" t="s">
        <v>594</v>
      </c>
      <c r="D1762" s="2" t="str">
        <f t="shared" si="26"/>
        <v>Error?</v>
      </c>
      <c r="E1762" s="9"/>
    </row>
    <row r="1763" spans="1:5" x14ac:dyDescent="0.2">
      <c r="A1763" s="5">
        <v>1702</v>
      </c>
      <c r="B1763" s="138">
        <f>'Tax Sched 23'!D7</f>
        <v>88724</v>
      </c>
      <c r="C1763" s="2" t="s">
        <v>594</v>
      </c>
      <c r="D1763" s="2" t="str">
        <f t="shared" si="26"/>
        <v>Error?</v>
      </c>
    </row>
    <row r="1764" spans="1:5" x14ac:dyDescent="0.2">
      <c r="A1764" s="5">
        <v>1703</v>
      </c>
      <c r="B1764" s="138">
        <f>'Tax Sched 23'!D8</f>
        <v>74850</v>
      </c>
      <c r="C1764" s="2" t="s">
        <v>594</v>
      </c>
      <c r="D1764" s="2" t="str">
        <f t="shared" si="26"/>
        <v>Error?</v>
      </c>
    </row>
    <row r="1765" spans="1:5" x14ac:dyDescent="0.2">
      <c r="A1765" s="5">
        <v>1704</v>
      </c>
      <c r="B1765" s="138">
        <f>'Tax Sched 23'!D10</f>
        <v>22181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387399</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17691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2382505</v>
      </c>
      <c r="C1775" s="2" t="s">
        <v>594</v>
      </c>
      <c r="D1775" s="2" t="str">
        <f t="shared" si="26"/>
        <v>Error?</v>
      </c>
    </row>
    <row r="1776" spans="1:5" x14ac:dyDescent="0.2">
      <c r="A1776" s="5">
        <v>1715</v>
      </c>
      <c r="B1776" s="138">
        <f>'Tax Sched 23'!C4</f>
        <v>1039773</v>
      </c>
      <c r="D1776" s="2" t="str">
        <f t="shared" si="26"/>
        <v>Error?</v>
      </c>
    </row>
    <row r="1777" spans="1:4" x14ac:dyDescent="0.2">
      <c r="A1777" s="5">
        <v>1716</v>
      </c>
      <c r="B1777" s="138">
        <f>'Tax Sched 23'!C5</f>
        <v>216592</v>
      </c>
      <c r="D1777" s="2" t="str">
        <f t="shared" si="26"/>
        <v>Error?</v>
      </c>
    </row>
    <row r="1778" spans="1:4" x14ac:dyDescent="0.2">
      <c r="A1778" s="5">
        <v>1717</v>
      </c>
      <c r="B1778" s="138">
        <f>'Tax Sched 23'!C6</f>
        <v>387609</v>
      </c>
      <c r="D1778" s="2" t="str">
        <f t="shared" si="26"/>
        <v>Error?</v>
      </c>
    </row>
    <row r="1779" spans="1:4" x14ac:dyDescent="0.2">
      <c r="A1779" s="5">
        <v>1718</v>
      </c>
      <c r="B1779" s="138">
        <f>'Tax Sched 23'!C7</f>
        <v>86594</v>
      </c>
      <c r="D1779" s="2" t="str">
        <f t="shared" si="26"/>
        <v>Error?</v>
      </c>
    </row>
    <row r="1780" spans="1:4" x14ac:dyDescent="0.2">
      <c r="A1780" s="5">
        <v>1719</v>
      </c>
      <c r="B1780" s="138">
        <f>'Tax Sched 23'!C8</f>
        <v>67929</v>
      </c>
      <c r="D1780" s="2" t="str">
        <f t="shared" si="26"/>
        <v>Error?</v>
      </c>
    </row>
    <row r="1781" spans="1:4" x14ac:dyDescent="0.2">
      <c r="A1781" s="5">
        <v>1720</v>
      </c>
      <c r="B1781" s="138">
        <f>'Tax Sched 23'!C10</f>
        <v>21703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243070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17362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2170264</v>
      </c>
      <c r="C1791" s="2" t="s">
        <v>594</v>
      </c>
      <c r="D1791" s="2" t="str">
        <f t="shared" ref="D1791:D1854" si="27">IF(ISBLANK(B1791),"OK",IF(A1791-B1791=0,"OK","Error?"))</f>
        <v>Error?</v>
      </c>
    </row>
    <row r="1792" spans="1:4" x14ac:dyDescent="0.2">
      <c r="A1792" s="5">
        <v>1731</v>
      </c>
      <c r="B1792" s="138">
        <f>'Tax Sched 23'!F4</f>
        <v>1099749</v>
      </c>
      <c r="C1792" s="2" t="s">
        <v>594</v>
      </c>
      <c r="D1792" s="2" t="str">
        <f t="shared" si="27"/>
        <v>Error?</v>
      </c>
    </row>
    <row r="1793" spans="1:4" x14ac:dyDescent="0.2">
      <c r="A1793" s="5">
        <v>1732</v>
      </c>
      <c r="B1793" s="138">
        <f>'Tax Sched 23'!F5</f>
        <v>229142</v>
      </c>
      <c r="C1793" s="2" t="s">
        <v>594</v>
      </c>
      <c r="D1793" s="2" t="str">
        <f t="shared" si="27"/>
        <v>Error?</v>
      </c>
    </row>
    <row r="1794" spans="1:4" x14ac:dyDescent="0.2">
      <c r="A1794" s="5">
        <v>1733</v>
      </c>
      <c r="B1794" s="138">
        <f>'Tax Sched 23'!F6</f>
        <v>410254</v>
      </c>
      <c r="C1794" s="2" t="s">
        <v>594</v>
      </c>
      <c r="D1794" s="2" t="str">
        <f t="shared" si="27"/>
        <v>Error?</v>
      </c>
    </row>
    <row r="1795" spans="1:4" x14ac:dyDescent="0.2">
      <c r="A1795" s="5">
        <v>1734</v>
      </c>
      <c r="B1795" s="138">
        <f>'Tax Sched 23'!F7</f>
        <v>91700</v>
      </c>
      <c r="C1795" s="2" t="s">
        <v>594</v>
      </c>
      <c r="D1795" s="2" t="str">
        <f t="shared" si="27"/>
        <v>Error?</v>
      </c>
    </row>
    <row r="1796" spans="1:4" x14ac:dyDescent="0.2">
      <c r="A1796" s="5">
        <v>1735</v>
      </c>
      <c r="B1796" s="138">
        <f>'Tax Sched 23'!F8</f>
        <v>72032</v>
      </c>
      <c r="C1796" s="2" t="s">
        <v>594</v>
      </c>
      <c r="D1796" s="2" t="str">
        <f t="shared" si="27"/>
        <v>Error?</v>
      </c>
    </row>
    <row r="1797" spans="1:4" x14ac:dyDescent="0.2">
      <c r="A1797" s="5">
        <v>1736</v>
      </c>
      <c r="B1797" s="138">
        <f>'Tax Sched 23'!F10</f>
        <v>22870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256954</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18296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2295898</v>
      </c>
      <c r="C1807" s="2" t="s">
        <v>594</v>
      </c>
      <c r="D1807" s="2" t="str">
        <f t="shared" si="27"/>
        <v>Error?</v>
      </c>
    </row>
    <row r="1808" spans="1:4" x14ac:dyDescent="0.2">
      <c r="A1808" s="5">
        <v>1747</v>
      </c>
      <c r="B1808" s="138">
        <f>'Tax Sched 23'!E4</f>
        <v>2139522</v>
      </c>
      <c r="D1808" s="2" t="str">
        <f t="shared" si="27"/>
        <v>Error?</v>
      </c>
    </row>
    <row r="1809" spans="1:4" x14ac:dyDescent="0.2">
      <c r="A1809" s="5">
        <v>1748</v>
      </c>
      <c r="B1809" s="138">
        <f>'Tax Sched 23'!E5</f>
        <v>445734</v>
      </c>
      <c r="D1809" s="2" t="str">
        <f t="shared" si="27"/>
        <v>Error?</v>
      </c>
    </row>
    <row r="1810" spans="1:4" x14ac:dyDescent="0.2">
      <c r="A1810" s="5">
        <v>1749</v>
      </c>
      <c r="B1810" s="138">
        <f>'Tax Sched 23'!E6</f>
        <v>797863</v>
      </c>
      <c r="D1810" s="2" t="str">
        <f t="shared" si="27"/>
        <v>Error?</v>
      </c>
    </row>
    <row r="1811" spans="1:4" x14ac:dyDescent="0.2">
      <c r="A1811" s="5">
        <v>1750</v>
      </c>
      <c r="B1811" s="138">
        <f>'Tax Sched 23'!E7</f>
        <v>178294</v>
      </c>
      <c r="D1811" s="2" t="str">
        <f t="shared" si="27"/>
        <v>Error?</v>
      </c>
    </row>
    <row r="1812" spans="1:4" x14ac:dyDescent="0.2">
      <c r="A1812" s="5">
        <v>1751</v>
      </c>
      <c r="B1812" s="138">
        <f>'Tax Sched 23'!E8</f>
        <v>139961</v>
      </c>
      <c r="D1812" s="2" t="str">
        <f t="shared" si="27"/>
        <v>Error?</v>
      </c>
    </row>
    <row r="1813" spans="1:4" x14ac:dyDescent="0.2">
      <c r="A1813" s="5">
        <v>1752</v>
      </c>
      <c r="B1813" s="138">
        <f>'Tax Sched 23'!E10</f>
        <v>44573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500024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35658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4466162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10175370</v>
      </c>
      <c r="C1939" s="2" t="s">
        <v>594</v>
      </c>
      <c r="D1939" s="2" t="str">
        <f t="shared" si="29"/>
        <v>Error?</v>
      </c>
    </row>
    <row r="1940" spans="1:5" x14ac:dyDescent="0.2">
      <c r="A1940" s="5">
        <v>1879</v>
      </c>
      <c r="B1940" s="138">
        <f>'Short-Term Long-Term Debt 24'!F49</f>
        <v>535000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35053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35053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35053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85250</v>
      </c>
      <c r="D2008" s="2" t="str">
        <f t="shared" si="30"/>
        <v>Error?</v>
      </c>
    </row>
    <row r="2009" spans="1:4" x14ac:dyDescent="0.2">
      <c r="A2009" s="5">
        <v>1948</v>
      </c>
      <c r="B2009" s="138">
        <f>'Cap Outlay Deprec 26'!C8</f>
        <v>9441867</v>
      </c>
      <c r="D2009" s="2" t="str">
        <f t="shared" si="30"/>
        <v>Error?</v>
      </c>
    </row>
    <row r="2010" spans="1:4" x14ac:dyDescent="0.2">
      <c r="A2010" s="5">
        <v>1949</v>
      </c>
      <c r="B2010" s="138">
        <f>'Cap Outlay Deprec 26'!C10</f>
        <v>183484</v>
      </c>
      <c r="D2010" s="2" t="str">
        <f t="shared" si="30"/>
        <v>Error?</v>
      </c>
    </row>
    <row r="2011" spans="1:4" x14ac:dyDescent="0.2">
      <c r="A2011" s="5">
        <v>1950</v>
      </c>
      <c r="B2011" s="138">
        <f>'Cap Outlay Deprec 26'!C12</f>
        <v>2155966</v>
      </c>
      <c r="D2011" s="2" t="str">
        <f t="shared" si="30"/>
        <v>Error?</v>
      </c>
    </row>
    <row r="2012" spans="1:4" x14ac:dyDescent="0.2">
      <c r="A2012" s="5">
        <v>1951</v>
      </c>
      <c r="B2012" s="138">
        <f>'Cap Outlay Deprec 26'!C13</f>
        <v>1810684</v>
      </c>
      <c r="D2012" s="2" t="str">
        <f t="shared" si="30"/>
        <v>Error?</v>
      </c>
    </row>
    <row r="2013" spans="1:4" x14ac:dyDescent="0.2">
      <c r="A2013" s="5">
        <v>1952</v>
      </c>
      <c r="B2013" s="138">
        <f>'Cap Outlay Deprec 26'!C16</f>
        <v>13677251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245170</v>
      </c>
      <c r="D2016" s="2" t="str">
        <f t="shared" si="30"/>
        <v>Error?</v>
      </c>
    </row>
    <row r="2017" spans="1:4" x14ac:dyDescent="0.2">
      <c r="A2017" s="5">
        <v>1956</v>
      </c>
      <c r="B2017" s="138">
        <f>'Cap Outlay Deprec 26'!D12</f>
        <v>6118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251288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85250</v>
      </c>
      <c r="C2026" s="2" t="s">
        <v>594</v>
      </c>
      <c r="D2026" s="2" t="str">
        <f t="shared" si="30"/>
        <v>Error?</v>
      </c>
    </row>
    <row r="2027" spans="1:4" x14ac:dyDescent="0.2">
      <c r="A2027" s="5">
        <v>1966</v>
      </c>
      <c r="B2027" s="138">
        <f>'Cap Outlay Deprec 26'!F8</f>
        <v>9441867</v>
      </c>
      <c r="C2027" s="2" t="s">
        <v>594</v>
      </c>
      <c r="D2027" s="2" t="str">
        <f t="shared" si="30"/>
        <v>Error?</v>
      </c>
    </row>
    <row r="2028" spans="1:4" x14ac:dyDescent="0.2">
      <c r="A2028" s="5">
        <v>1967</v>
      </c>
      <c r="B2028" s="138">
        <f>'Cap Outlay Deprec 26'!F10</f>
        <v>428654</v>
      </c>
      <c r="C2028" s="2" t="s">
        <v>594</v>
      </c>
      <c r="D2028" s="2" t="str">
        <f t="shared" si="30"/>
        <v>Error?</v>
      </c>
    </row>
    <row r="2029" spans="1:4" x14ac:dyDescent="0.2">
      <c r="A2029" s="5">
        <v>1968</v>
      </c>
      <c r="B2029" s="138">
        <f>'Cap Outlay Deprec 26'!F12</f>
        <v>2162084</v>
      </c>
      <c r="C2029" s="2" t="s">
        <v>594</v>
      </c>
      <c r="D2029" s="2" t="str">
        <f t="shared" si="30"/>
        <v>Error?</v>
      </c>
    </row>
    <row r="2030" spans="1:4" x14ac:dyDescent="0.2">
      <c r="A2030" s="5">
        <v>1969</v>
      </c>
      <c r="B2030" s="138">
        <f>'Cap Outlay Deprec 26'!F13</f>
        <v>1810684</v>
      </c>
      <c r="C2030" s="2" t="s">
        <v>594</v>
      </c>
      <c r="D2030" s="2" t="str">
        <f t="shared" si="30"/>
        <v>Error?</v>
      </c>
    </row>
    <row r="2031" spans="1:4" x14ac:dyDescent="0.2">
      <c r="A2031" s="5">
        <v>1970</v>
      </c>
      <c r="B2031" s="138">
        <f>'Cap Outlay Deprec 26'!F16</f>
        <v>13928539</v>
      </c>
      <c r="C2031" s="2" t="s">
        <v>594</v>
      </c>
      <c r="D2031" s="2" t="str">
        <f t="shared" si="30"/>
        <v>Error?</v>
      </c>
    </row>
    <row r="2032" spans="1:4" x14ac:dyDescent="0.2">
      <c r="A2032" s="10">
        <v>1971</v>
      </c>
      <c r="D2032" s="2" t="str">
        <f t="shared" si="30"/>
        <v>OK</v>
      </c>
    </row>
    <row r="2033" spans="1:4" x14ac:dyDescent="0.2">
      <c r="A2033" s="5">
        <v>1972</v>
      </c>
      <c r="B2033" s="138">
        <f>'Cap Outlay Deprec 26'!H8</f>
        <v>4879331</v>
      </c>
      <c r="D2033" s="2" t="str">
        <f t="shared" si="30"/>
        <v>Error?</v>
      </c>
    </row>
    <row r="2034" spans="1:4" x14ac:dyDescent="0.2">
      <c r="A2034" s="5">
        <v>1973</v>
      </c>
      <c r="B2034" s="138">
        <f>'Cap Outlay Deprec 26'!H10</f>
        <v>118764</v>
      </c>
      <c r="D2034" s="2" t="str">
        <f t="shared" si="30"/>
        <v>Error?</v>
      </c>
    </row>
    <row r="2035" spans="1:4" x14ac:dyDescent="0.2">
      <c r="A2035" s="5">
        <v>1974</v>
      </c>
      <c r="B2035" s="138">
        <f>'Cap Outlay Deprec 26'!H12</f>
        <v>1820441</v>
      </c>
      <c r="D2035" s="2" t="str">
        <f t="shared" si="30"/>
        <v>Error?</v>
      </c>
    </row>
    <row r="2036" spans="1:4" x14ac:dyDescent="0.2">
      <c r="A2036" s="5">
        <v>1975</v>
      </c>
      <c r="B2036" s="138">
        <f>'Cap Outlay Deprec 26'!H13</f>
        <v>1454736</v>
      </c>
      <c r="D2036" s="2" t="str">
        <f t="shared" si="30"/>
        <v>Error?</v>
      </c>
    </row>
    <row r="2037" spans="1:4" x14ac:dyDescent="0.2">
      <c r="A2037" s="5">
        <v>1976</v>
      </c>
      <c r="B2037" s="138">
        <f>'Cap Outlay Deprec 26'!H16</f>
        <v>8273272</v>
      </c>
      <c r="C2037" s="2" t="s">
        <v>594</v>
      </c>
      <c r="D2037" s="2" t="str">
        <f t="shared" si="30"/>
        <v>Error?</v>
      </c>
    </row>
    <row r="2038" spans="1:4" x14ac:dyDescent="0.2">
      <c r="A2038" s="10">
        <v>1977</v>
      </c>
      <c r="D2038" s="2" t="str">
        <f t="shared" si="30"/>
        <v>OK</v>
      </c>
    </row>
    <row r="2039" spans="1:4" x14ac:dyDescent="0.2">
      <c r="A2039" s="5">
        <v>1978</v>
      </c>
      <c r="B2039" s="138">
        <f>'Cap Outlay Deprec 26'!I8</f>
        <v>188837</v>
      </c>
      <c r="D2039" s="2" t="str">
        <f t="shared" si="30"/>
        <v>Error?</v>
      </c>
    </row>
    <row r="2040" spans="1:4" x14ac:dyDescent="0.2">
      <c r="A2040" s="5">
        <v>1979</v>
      </c>
      <c r="B2040" s="138">
        <f>'Cap Outlay Deprec 26'!I10</f>
        <v>21433</v>
      </c>
      <c r="D2040" s="2" t="str">
        <f t="shared" si="30"/>
        <v>Error?</v>
      </c>
    </row>
    <row r="2041" spans="1:4" x14ac:dyDescent="0.2">
      <c r="A2041" s="5">
        <v>1980</v>
      </c>
      <c r="B2041" s="138">
        <f>'Cap Outlay Deprec 26'!I12</f>
        <v>194750</v>
      </c>
      <c r="D2041" s="2" t="str">
        <f t="shared" si="30"/>
        <v>Error?</v>
      </c>
    </row>
    <row r="2042" spans="1:4" x14ac:dyDescent="0.2">
      <c r="A2042" s="5">
        <v>1981</v>
      </c>
      <c r="B2042" s="138">
        <f>'Cap Outlay Deprec 26'!I13</f>
        <v>113201</v>
      </c>
      <c r="D2042" s="2" t="str">
        <f t="shared" si="30"/>
        <v>Error?</v>
      </c>
    </row>
    <row r="2043" spans="1:4" x14ac:dyDescent="0.2">
      <c r="A2043" s="5">
        <v>1982</v>
      </c>
      <c r="B2043" s="138">
        <f>'Cap Outlay Deprec 26'!I16</f>
        <v>518221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5068168</v>
      </c>
      <c r="C2051" s="2" t="s">
        <v>594</v>
      </c>
      <c r="D2051" s="2" t="str">
        <f t="shared" si="31"/>
        <v>Error?</v>
      </c>
    </row>
    <row r="2052" spans="1:4" x14ac:dyDescent="0.2">
      <c r="A2052" s="5">
        <v>1991</v>
      </c>
      <c r="B2052" s="138">
        <f>'Cap Outlay Deprec 26'!K10</f>
        <v>140197</v>
      </c>
      <c r="C2052" s="2" t="s">
        <v>594</v>
      </c>
      <c r="D2052" s="2" t="str">
        <f t="shared" si="31"/>
        <v>Error?</v>
      </c>
    </row>
    <row r="2053" spans="1:4" x14ac:dyDescent="0.2">
      <c r="A2053" s="5">
        <v>1992</v>
      </c>
      <c r="B2053" s="138">
        <f>'Cap Outlay Deprec 26'!K12</f>
        <v>2015191</v>
      </c>
      <c r="C2053" s="2" t="s">
        <v>594</v>
      </c>
      <c r="D2053" s="2" t="str">
        <f t="shared" si="31"/>
        <v>Error?</v>
      </c>
    </row>
    <row r="2054" spans="1:4" x14ac:dyDescent="0.2">
      <c r="A2054" s="5">
        <v>1993</v>
      </c>
      <c r="B2054" s="138">
        <f>'Cap Outlay Deprec 26'!K13</f>
        <v>1567937</v>
      </c>
      <c r="C2054" s="2" t="s">
        <v>594</v>
      </c>
      <c r="D2054" s="2" t="str">
        <f t="shared" si="31"/>
        <v>Error?</v>
      </c>
    </row>
    <row r="2055" spans="1:4" x14ac:dyDescent="0.2">
      <c r="A2055" s="5">
        <v>1994</v>
      </c>
      <c r="B2055" s="138">
        <f>'Cap Outlay Deprec 26'!K16</f>
        <v>8791493</v>
      </c>
      <c r="C2055" s="2" t="s">
        <v>594</v>
      </c>
      <c r="D2055" s="2" t="str">
        <f t="shared" si="31"/>
        <v>Error?</v>
      </c>
    </row>
    <row r="2056" spans="1:4" x14ac:dyDescent="0.2">
      <c r="A2056" s="5">
        <v>1995</v>
      </c>
      <c r="B2056" s="138">
        <f>'Cap Outlay Deprec 26'!L5</f>
        <v>85250</v>
      </c>
      <c r="C2056" s="2" t="s">
        <v>594</v>
      </c>
      <c r="D2056" s="2" t="str">
        <f t="shared" si="31"/>
        <v>Error?</v>
      </c>
    </row>
    <row r="2057" spans="1:4" x14ac:dyDescent="0.2">
      <c r="A2057" s="5">
        <v>1996</v>
      </c>
      <c r="B2057" s="138">
        <f>'Cap Outlay Deprec 26'!L8</f>
        <v>4373699</v>
      </c>
      <c r="C2057" s="2" t="s">
        <v>594</v>
      </c>
      <c r="D2057" s="2" t="str">
        <f t="shared" si="31"/>
        <v>Error?</v>
      </c>
    </row>
    <row r="2058" spans="1:4" x14ac:dyDescent="0.2">
      <c r="A2058" s="5">
        <v>1997</v>
      </c>
      <c r="B2058" s="138">
        <f>'Cap Outlay Deprec 26'!L10</f>
        <v>288457</v>
      </c>
      <c r="C2058" s="2" t="s">
        <v>594</v>
      </c>
      <c r="D2058" s="2" t="str">
        <f t="shared" si="31"/>
        <v>Error?</v>
      </c>
    </row>
    <row r="2059" spans="1:4" x14ac:dyDescent="0.2">
      <c r="A2059" s="5">
        <v>1998</v>
      </c>
      <c r="B2059" s="138">
        <f>'Cap Outlay Deprec 26'!L12</f>
        <v>146893</v>
      </c>
      <c r="C2059" s="2" t="s">
        <v>594</v>
      </c>
      <c r="D2059" s="2" t="str">
        <f t="shared" si="31"/>
        <v>Error?</v>
      </c>
    </row>
    <row r="2060" spans="1:4" x14ac:dyDescent="0.2">
      <c r="A2060" s="5">
        <v>1999</v>
      </c>
      <c r="B2060" s="138">
        <f>'Cap Outlay Deprec 26'!L13</f>
        <v>242747</v>
      </c>
      <c r="C2060" s="2" t="s">
        <v>594</v>
      </c>
      <c r="D2060" s="2" t="str">
        <f t="shared" si="31"/>
        <v>Error?</v>
      </c>
    </row>
    <row r="2061" spans="1:4" x14ac:dyDescent="0.2">
      <c r="A2061" s="5">
        <v>2000</v>
      </c>
      <c r="B2061" s="138">
        <f>'Cap Outlay Deprec 26'!L16</f>
        <v>5137046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51693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166521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176584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2331598</v>
      </c>
      <c r="C2551" s="2" t="s">
        <v>594</v>
      </c>
      <c r="D2551" s="2" t="str">
        <f t="shared" si="38"/>
        <v>Error?</v>
      </c>
    </row>
    <row r="2552" spans="1:4" x14ac:dyDescent="0.2">
      <c r="A2552" s="10">
        <v>2491</v>
      </c>
      <c r="D2552" s="2" t="str">
        <f t="shared" si="38"/>
        <v>OK</v>
      </c>
    </row>
    <row r="2553" spans="1:4" x14ac:dyDescent="0.2">
      <c r="A2553" s="5">
        <v>2492</v>
      </c>
      <c r="B2553" s="138">
        <f>'Acct Summary 7-8'!C6</f>
        <v>718982</v>
      </c>
      <c r="C2553" s="2" t="s">
        <v>594</v>
      </c>
      <c r="D2553" s="2" t="str">
        <f t="shared" si="38"/>
        <v>Error?</v>
      </c>
    </row>
    <row r="2554" spans="1:4" x14ac:dyDescent="0.2">
      <c r="A2554" s="5">
        <v>2493</v>
      </c>
      <c r="B2554" s="138">
        <f>'Acct Summary 7-8'!C7</f>
        <v>239756</v>
      </c>
      <c r="C2554" s="2" t="s">
        <v>594</v>
      </c>
      <c r="D2554" s="2" t="str">
        <f t="shared" si="38"/>
        <v>Error?</v>
      </c>
    </row>
    <row r="2555" spans="1:4" x14ac:dyDescent="0.2">
      <c r="A2555" s="5">
        <v>2494</v>
      </c>
      <c r="B2555" s="138">
        <f>'Acct Summary 7-8'!C8</f>
        <v>3290336</v>
      </c>
      <c r="C2555" s="2" t="s">
        <v>594</v>
      </c>
      <c r="D2555" s="2" t="str">
        <f t="shared" si="38"/>
        <v>Error?</v>
      </c>
    </row>
    <row r="2556" spans="1:4" x14ac:dyDescent="0.2">
      <c r="A2556" s="5">
        <v>2495</v>
      </c>
      <c r="B2556" s="138">
        <f>'Acct Summary 7-8'!C12</f>
        <v>2306138</v>
      </c>
      <c r="C2556" s="2" t="s">
        <v>594</v>
      </c>
      <c r="D2556" s="2" t="str">
        <f t="shared" si="38"/>
        <v>Error?</v>
      </c>
    </row>
    <row r="2557" spans="1:4" x14ac:dyDescent="0.2">
      <c r="A2557" s="5">
        <v>2496</v>
      </c>
      <c r="B2557" s="138">
        <f>'Acct Summary 7-8'!C13</f>
        <v>830940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51693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3188771</v>
      </c>
      <c r="C2561" s="2" t="s">
        <v>594</v>
      </c>
      <c r="D2561" s="2" t="str">
        <f t="shared" si="39"/>
        <v>Error?</v>
      </c>
    </row>
    <row r="2562" spans="1:4" x14ac:dyDescent="0.2">
      <c r="A2562" s="5">
        <v>2501</v>
      </c>
      <c r="B2562" s="138">
        <f>'Acct Summary 7-8'!C20</f>
        <v>101565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555092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555092</v>
      </c>
      <c r="C2568" s="2" t="s">
        <v>594</v>
      </c>
      <c r="D2568" s="2" t="str">
        <f t="shared" si="39"/>
        <v>Error?</v>
      </c>
    </row>
    <row r="2569" spans="1:4" x14ac:dyDescent="0.2">
      <c r="A2569" s="5">
        <v>2508</v>
      </c>
      <c r="B2569" s="138">
        <f>'Acct Summary 7-8'!D13</f>
        <v>512151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512151</v>
      </c>
      <c r="C2573" s="2" t="s">
        <v>594</v>
      </c>
      <c r="D2573" s="2" t="str">
        <f t="shared" si="39"/>
        <v>Error?</v>
      </c>
    </row>
    <row r="2574" spans="1:4" x14ac:dyDescent="0.2">
      <c r="A2574" s="5">
        <v>2513</v>
      </c>
      <c r="B2574" s="138">
        <f>'Acct Summary 7-8'!D20</f>
        <v>42941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224232</v>
      </c>
      <c r="C2591" s="2" t="s">
        <v>594</v>
      </c>
      <c r="D2591" s="2" t="str">
        <f t="shared" si="39"/>
        <v>Error?</v>
      </c>
    </row>
    <row r="2592" spans="1:4" x14ac:dyDescent="0.2">
      <c r="A2592" s="10">
        <v>2531</v>
      </c>
      <c r="D2592" s="2" t="str">
        <f t="shared" si="39"/>
        <v>OK</v>
      </c>
    </row>
    <row r="2593" spans="1:4" x14ac:dyDescent="0.2">
      <c r="A2593" s="5">
        <v>2532</v>
      </c>
      <c r="B2593" s="138">
        <f>'Acct Summary 7-8'!F6</f>
        <v>176245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400477</v>
      </c>
      <c r="C2595" s="2" t="s">
        <v>594</v>
      </c>
      <c r="D2595" s="2" t="str">
        <f t="shared" si="39"/>
        <v>Error?</v>
      </c>
    </row>
    <row r="2596" spans="1:4" x14ac:dyDescent="0.2">
      <c r="A2596" s="5">
        <v>2535</v>
      </c>
      <c r="B2596" s="138">
        <f>'Acct Summary 7-8'!F13</f>
        <v>385611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385611</v>
      </c>
      <c r="C2600" s="2" t="s">
        <v>594</v>
      </c>
      <c r="D2600" s="2" t="str">
        <f t="shared" si="39"/>
        <v>Error?</v>
      </c>
    </row>
    <row r="2601" spans="1:4" x14ac:dyDescent="0.2">
      <c r="A2601" s="5">
        <v>2540</v>
      </c>
      <c r="B2601" s="138">
        <f>'Acct Summary 7-8'!F20</f>
        <v>14866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287969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287969</v>
      </c>
      <c r="C2606" s="2" t="s">
        <v>594</v>
      </c>
      <c r="D2606" s="2" t="str">
        <f t="shared" si="39"/>
        <v>Error?</v>
      </c>
    </row>
    <row r="2607" spans="1:4" x14ac:dyDescent="0.2">
      <c r="A2607" s="5">
        <v>2546</v>
      </c>
      <c r="B2607" s="138">
        <f>'Acct Summary 7-8'!G12</f>
        <v>37169</v>
      </c>
      <c r="C2607" s="2" t="s">
        <v>594</v>
      </c>
      <c r="D2607" s="2" t="str">
        <f t="shared" si="39"/>
        <v>Error?</v>
      </c>
    </row>
    <row r="2608" spans="1:4" x14ac:dyDescent="0.2">
      <c r="A2608" s="5">
        <v>2547</v>
      </c>
      <c r="B2608" s="138">
        <f>'Acct Summary 7-8'!G13</f>
        <v>181482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218651</v>
      </c>
      <c r="C2612" s="2" t="s">
        <v>594</v>
      </c>
      <c r="D2612" s="2" t="str">
        <f t="shared" si="39"/>
        <v>Error?</v>
      </c>
    </row>
    <row r="2613" spans="1:4" x14ac:dyDescent="0.2">
      <c r="A2613" s="5">
        <v>2552</v>
      </c>
      <c r="B2613" s="138">
        <f>'Acct Summary 7-8'!G20</f>
        <v>69318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796005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796005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841134</v>
      </c>
      <c r="C2634" s="2" t="s">
        <v>594</v>
      </c>
      <c r="D2634" s="2" t="str">
        <f t="shared" si="40"/>
        <v>Error?</v>
      </c>
    </row>
    <row r="2635" spans="1:4" x14ac:dyDescent="0.2">
      <c r="A2635" s="5">
        <v>2574</v>
      </c>
      <c r="B2635" s="138">
        <f>'Acct Summary 7-8'!E17</f>
        <v>841134</v>
      </c>
      <c r="C2635" s="2" t="s">
        <v>594</v>
      </c>
      <c r="D2635" s="2" t="str">
        <f t="shared" si="40"/>
        <v>Error?</v>
      </c>
    </row>
    <row r="2636" spans="1:4" x14ac:dyDescent="0.2">
      <c r="A2636" s="5">
        <v>2575</v>
      </c>
      <c r="B2636" s="138">
        <f>'Acct Summary 7-8'!E20</f>
        <v>-45129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317258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317258</v>
      </c>
      <c r="C2658" s="2" t="s">
        <v>594</v>
      </c>
      <c r="D2658" s="2" t="str">
        <f t="shared" si="40"/>
        <v>Error?</v>
      </c>
    </row>
    <row r="2659" spans="1:4" x14ac:dyDescent="0.2">
      <c r="A2659" s="5">
        <v>2598</v>
      </c>
      <c r="B2659" s="138">
        <f>'Acct Summary 7-8'!H13</f>
        <v>277686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277686</v>
      </c>
      <c r="C2661" s="2" t="s">
        <v>594</v>
      </c>
      <c r="D2661" s="2" t="str">
        <f t="shared" si="40"/>
        <v>Error?</v>
      </c>
    </row>
    <row r="2662" spans="1:4" x14ac:dyDescent="0.2">
      <c r="A2662" s="5">
        <v>2601</v>
      </c>
      <c r="B2662" s="138">
        <f>'Acct Summary 7-8'!H20</f>
        <v>39572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1544888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109173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1544888</v>
      </c>
      <c r="D2912" s="2" t="str">
        <f t="shared" si="44"/>
        <v>Error?</v>
      </c>
    </row>
    <row r="2913" spans="1:4" x14ac:dyDescent="0.2">
      <c r="A2913" s="5">
        <v>2852</v>
      </c>
      <c r="B2913" s="138">
        <f>'Assets-Liab 5-6'!I41</f>
        <v>1544888</v>
      </c>
      <c r="C2913" s="2" t="s">
        <v>594</v>
      </c>
      <c r="D2913" s="2" t="str">
        <f t="shared" si="44"/>
        <v>Error?</v>
      </c>
    </row>
    <row r="2914" spans="1:4" x14ac:dyDescent="0.2">
      <c r="A2914" s="5">
        <v>2853</v>
      </c>
      <c r="B2914" s="138">
        <f>'Assets-Liab 5-6'!L33</f>
        <v>109173</v>
      </c>
      <c r="D2914" s="2" t="str">
        <f t="shared" si="44"/>
        <v>Error?</v>
      </c>
    </row>
    <row r="2915" spans="1:4" x14ac:dyDescent="0.2">
      <c r="A2915" s="10">
        <v>2854</v>
      </c>
      <c r="D2915" s="2" t="str">
        <f t="shared" si="44"/>
        <v>OK</v>
      </c>
    </row>
    <row r="2916" spans="1:4" x14ac:dyDescent="0.2">
      <c r="A2916" s="5">
        <v>2855</v>
      </c>
      <c r="B2916" s="138">
        <f>'Assets-Liab 5-6'!L34</f>
        <v>109173</v>
      </c>
      <c r="C2916" s="2" t="s">
        <v>594</v>
      </c>
      <c r="D2916" s="2" t="str">
        <f t="shared" si="44"/>
        <v>Error?</v>
      </c>
    </row>
    <row r="2917" spans="1:4" x14ac:dyDescent="0.2">
      <c r="A2917" s="5">
        <v>2856</v>
      </c>
      <c r="B2917" s="138">
        <f>'Assets-Liab 5-6'!L41</f>
        <v>109173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46723</v>
      </c>
      <c r="D3055" s="2" t="str">
        <f t="shared" si="46"/>
        <v>Error?</v>
      </c>
    </row>
    <row r="3056" spans="1:4" x14ac:dyDescent="0.2">
      <c r="A3056" s="5">
        <v>2995</v>
      </c>
      <c r="B3056" s="138">
        <f>'Expenditures 15-22'!D10</f>
        <v>12315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6253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65291</v>
      </c>
      <c r="C3062" s="2" t="s">
        <v>594</v>
      </c>
      <c r="D3062" s="2" t="str">
        <f t="shared" si="46"/>
        <v>Error?</v>
      </c>
    </row>
    <row r="3063" spans="1:4" x14ac:dyDescent="0.2">
      <c r="A3063" s="10">
        <v>3002</v>
      </c>
      <c r="D3063" s="2" t="str">
        <f t="shared" si="46"/>
        <v>OK</v>
      </c>
    </row>
    <row r="3064" spans="1:4" x14ac:dyDescent="0.2">
      <c r="A3064" s="5">
        <v>3003</v>
      </c>
      <c r="B3064" s="138">
        <f>'Expenditures 15-22'!D219</f>
        <v>813</v>
      </c>
      <c r="D3064" s="2" t="str">
        <f t="shared" si="46"/>
        <v>Error?</v>
      </c>
    </row>
    <row r="3065" spans="1:4" x14ac:dyDescent="0.2">
      <c r="A3065" s="5">
        <v>3004</v>
      </c>
      <c r="B3065" s="138">
        <f>'Expenditures 15-22'!K219</f>
        <v>813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48165</v>
      </c>
      <c r="C3225" s="2" t="s">
        <v>594</v>
      </c>
      <c r="D3225" s="2" t="str">
        <f t="shared" si="49"/>
        <v>Error?</v>
      </c>
    </row>
    <row r="3226" spans="1:4" x14ac:dyDescent="0.2">
      <c r="A3226" s="5">
        <v>3165</v>
      </c>
      <c r="B3226" s="138">
        <f>'Acct Summary 7-8'!I8</f>
        <v>48165</v>
      </c>
      <c r="C3226" s="2" t="s">
        <v>594</v>
      </c>
      <c r="D3226" s="2" t="str">
        <f t="shared" si="49"/>
        <v>Error?</v>
      </c>
    </row>
    <row r="3227" spans="1:4" x14ac:dyDescent="0.2">
      <c r="A3227" s="5">
        <v>3166</v>
      </c>
      <c r="B3227" s="138">
        <f>'Acct Summary 7-8'!I20</f>
        <v>48165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101565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42941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14866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69318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-45129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39572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535000</v>
      </c>
      <c r="C3317" s="2" t="s">
        <v>594</v>
      </c>
      <c r="D3317" s="2" t="str">
        <f t="shared" si="50"/>
        <v>Error?</v>
      </c>
    </row>
    <row r="3318" spans="1:4" x14ac:dyDescent="0.2">
      <c r="A3318" s="5">
        <v>3257</v>
      </c>
      <c r="B3318" s="138">
        <f>'Acct Summary 7-8'!I76</f>
        <v>34953</v>
      </c>
      <c r="C3318" s="2" t="s">
        <v>594</v>
      </c>
      <c r="D3318" s="2" t="str">
        <f t="shared" si="50"/>
        <v>Error?</v>
      </c>
    </row>
    <row r="3319" spans="1:4" x14ac:dyDescent="0.2">
      <c r="A3319" s="5">
        <v>3258</v>
      </c>
      <c r="B3319" s="138">
        <f>'Acct Summary 7-8'!I77</f>
        <v>500047</v>
      </c>
      <c r="C3319" s="2" t="s">
        <v>594</v>
      </c>
      <c r="D3319" s="2" t="str">
        <f t="shared" si="50"/>
        <v>Error?</v>
      </c>
    </row>
    <row r="3320" spans="1:4" x14ac:dyDescent="0.2">
      <c r="A3320" s="5">
        <v>3259</v>
      </c>
      <c r="B3320" s="138">
        <f>'Acct Summary 7-8'!I78</f>
        <v>548212</v>
      </c>
      <c r="C3320" s="2" t="s">
        <v>594</v>
      </c>
      <c r="D3320" s="2" t="str">
        <f t="shared" si="50"/>
        <v>Error?</v>
      </c>
    </row>
    <row r="3321" spans="1:4" x14ac:dyDescent="0.2">
      <c r="A3321" s="5">
        <v>3260</v>
      </c>
      <c r="B3321" s="138">
        <f>'Acct Summary 7-8'!I79</f>
        <v>996676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1544888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249453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25987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24715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3462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303617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22828</v>
      </c>
      <c r="D3387" s="2" t="str">
        <f t="shared" si="51"/>
        <v>Error?</v>
      </c>
    </row>
    <row r="3388" spans="1:4" x14ac:dyDescent="0.2">
      <c r="A3388" s="5">
        <v>3327</v>
      </c>
      <c r="B3388" s="138">
        <f>'Expenditures 15-22'!D217</f>
        <v>9977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22828</v>
      </c>
      <c r="C3390" s="2" t="s">
        <v>594</v>
      </c>
      <c r="D3390" s="2" t="str">
        <f t="shared" si="51"/>
        <v>Error?</v>
      </c>
    </row>
    <row r="3391" spans="1:4" x14ac:dyDescent="0.2">
      <c r="A3391" s="5">
        <v>3330</v>
      </c>
      <c r="B3391" s="138">
        <f>'Expenditures 15-22'!K217</f>
        <v>9977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1416129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712208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314072</v>
      </c>
      <c r="D3417" s="2" t="str">
        <f t="shared" si="52"/>
        <v>Error?</v>
      </c>
    </row>
    <row r="3418" spans="1:4" x14ac:dyDescent="0.2">
      <c r="A3418" s="10">
        <v>3357</v>
      </c>
      <c r="D3418" s="2" t="str">
        <f t="shared" si="52"/>
        <v>OK</v>
      </c>
    </row>
    <row r="3419" spans="1:4" x14ac:dyDescent="0.2">
      <c r="A3419" s="5">
        <v>3358</v>
      </c>
      <c r="B3419" s="138">
        <f>'Assets-Liab 5-6'!F4</f>
        <v>366328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166521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578334</v>
      </c>
      <c r="D3425" s="2" t="str">
        <f t="shared" si="52"/>
        <v>Error?</v>
      </c>
    </row>
    <row r="3426" spans="1:4" x14ac:dyDescent="0.2">
      <c r="A3426" s="10">
        <v>3365</v>
      </c>
      <c r="D3426" s="2" t="str">
        <f t="shared" si="52"/>
        <v>OK</v>
      </c>
    </row>
    <row r="3427" spans="1:4" x14ac:dyDescent="0.2">
      <c r="A3427" s="5">
        <v>3366</v>
      </c>
      <c r="B3427" s="138">
        <f>'Assets-Liab 5-6'!I4</f>
        <v>1544888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109173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142779</v>
      </c>
      <c r="C3446" s="2" t="s">
        <v>594</v>
      </c>
      <c r="D3446" s="2" t="str">
        <f t="shared" si="52"/>
        <v>Error?</v>
      </c>
    </row>
    <row r="3447" spans="1:4" x14ac:dyDescent="0.2">
      <c r="A3447" s="5">
        <v>3386</v>
      </c>
      <c r="B3447" s="138">
        <f>'Tax Sched 23'!D16</f>
        <v>74850</v>
      </c>
      <c r="C3447" s="2" t="s">
        <v>594</v>
      </c>
      <c r="D3447" s="2" t="str">
        <f t="shared" si="52"/>
        <v>Error?</v>
      </c>
    </row>
    <row r="3448" spans="1:4" x14ac:dyDescent="0.2">
      <c r="A3448" s="5">
        <v>3387</v>
      </c>
      <c r="B3448" s="138">
        <f>'Tax Sched 23'!C16</f>
        <v>67929</v>
      </c>
      <c r="D3448" s="2" t="str">
        <f t="shared" si="52"/>
        <v>Error?</v>
      </c>
    </row>
    <row r="3449" spans="1:4" x14ac:dyDescent="0.2">
      <c r="A3449" s="5">
        <v>3388</v>
      </c>
      <c r="B3449" s="138">
        <f>'Tax Sched 23'!F16</f>
        <v>72031</v>
      </c>
      <c r="C3449" s="2" t="s">
        <v>594</v>
      </c>
      <c r="D3449" s="2" t="str">
        <f t="shared" si="52"/>
        <v>Error?</v>
      </c>
    </row>
    <row r="3450" spans="1:4" x14ac:dyDescent="0.2">
      <c r="A3450" s="5">
        <v>3389</v>
      </c>
      <c r="B3450" s="138">
        <f>'Tax Sched 23'!E16</f>
        <v>139960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44155</v>
      </c>
      <c r="C3725" s="2" t="s">
        <v>594</v>
      </c>
      <c r="D3725" s="2" t="str">
        <f t="shared" si="57"/>
        <v>Error?</v>
      </c>
    </row>
    <row r="3726" spans="1:4" x14ac:dyDescent="0.2">
      <c r="A3726" s="5">
        <v>3665</v>
      </c>
      <c r="B3726" s="138">
        <f>'Tax Sched 23'!D13</f>
        <v>22452</v>
      </c>
      <c r="C3726" s="2" t="s">
        <v>594</v>
      </c>
      <c r="D3726" s="2" t="str">
        <f t="shared" si="57"/>
        <v>Error?</v>
      </c>
    </row>
    <row r="3727" spans="1:4" x14ac:dyDescent="0.2">
      <c r="A3727" s="5">
        <v>3666</v>
      </c>
      <c r="B3727" s="138">
        <f>'Tax Sched 23'!C13</f>
        <v>21703</v>
      </c>
      <c r="D3727" s="2" t="str">
        <f t="shared" si="57"/>
        <v>Error?</v>
      </c>
    </row>
    <row r="3728" spans="1:4" x14ac:dyDescent="0.2">
      <c r="A3728" s="5">
        <v>3667</v>
      </c>
      <c r="B3728" s="138">
        <f>'Tax Sched 23'!F13</f>
        <v>22870</v>
      </c>
      <c r="C3728" s="2" t="s">
        <v>594</v>
      </c>
      <c r="D3728" s="2" t="str">
        <f t="shared" si="57"/>
        <v>Error?</v>
      </c>
    </row>
    <row r="3729" spans="1:4" x14ac:dyDescent="0.2">
      <c r="A3729" s="5">
        <v>3668</v>
      </c>
      <c r="B3729" s="138">
        <f>'Tax Sched 23'!E13</f>
        <v>44573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1561603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4851939</v>
      </c>
      <c r="C4122" s="2" t="s">
        <v>594</v>
      </c>
      <c r="D4122" s="2" t="str">
        <f t="shared" si="63"/>
        <v>Error?</v>
      </c>
    </row>
    <row r="4123" spans="1:4" x14ac:dyDescent="0.2">
      <c r="A4123" s="5">
        <v>4062</v>
      </c>
      <c r="B4123" s="138">
        <f>'Acct Summary 7-8'!D10</f>
        <v>555092</v>
      </c>
      <c r="C4123" s="2" t="s">
        <v>594</v>
      </c>
      <c r="D4123" s="2" t="str">
        <f t="shared" si="63"/>
        <v>Error?</v>
      </c>
    </row>
    <row r="4124" spans="1:4" x14ac:dyDescent="0.2">
      <c r="A4124" s="5">
        <v>4063</v>
      </c>
      <c r="B4124" s="138">
        <f>'Acct Summary 7-8'!E10</f>
        <v>796005</v>
      </c>
      <c r="C4124" s="2" t="s">
        <v>594</v>
      </c>
      <c r="D4124" s="2" t="str">
        <f t="shared" si="63"/>
        <v>Error?</v>
      </c>
    </row>
    <row r="4125" spans="1:4" x14ac:dyDescent="0.2">
      <c r="A4125" s="5">
        <v>4064</v>
      </c>
      <c r="B4125" s="138">
        <f>'Acct Summary 7-8'!F10</f>
        <v>400477</v>
      </c>
      <c r="C4125" s="2" t="s">
        <v>594</v>
      </c>
      <c r="D4125" s="2" t="str">
        <f t="shared" si="63"/>
        <v>Error?</v>
      </c>
    </row>
    <row r="4126" spans="1:4" x14ac:dyDescent="0.2">
      <c r="A4126" s="5">
        <v>4065</v>
      </c>
      <c r="B4126" s="138">
        <f>'Acct Summary 7-8'!G10</f>
        <v>287969</v>
      </c>
      <c r="C4126" s="2" t="s">
        <v>594</v>
      </c>
      <c r="D4126" s="2" t="str">
        <f t="shared" si="63"/>
        <v>Error?</v>
      </c>
    </row>
    <row r="4127" spans="1:4" x14ac:dyDescent="0.2">
      <c r="A4127" s="5">
        <v>4066</v>
      </c>
      <c r="B4127" s="138">
        <f>'Acct Summary 7-8'!H10</f>
        <v>317258</v>
      </c>
      <c r="C4127" s="2" t="s">
        <v>594</v>
      </c>
      <c r="D4127" s="2" t="str">
        <f t="shared" si="63"/>
        <v>Error?</v>
      </c>
    </row>
    <row r="4128" spans="1:4" x14ac:dyDescent="0.2">
      <c r="A4128" s="5">
        <v>4067</v>
      </c>
      <c r="B4128" s="138">
        <f>'Acct Summary 7-8'!I10</f>
        <v>48165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1561603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4750374</v>
      </c>
      <c r="C4136" s="2" t="s">
        <v>594</v>
      </c>
      <c r="D4136" s="2" t="str">
        <f t="shared" si="63"/>
        <v>Error?</v>
      </c>
    </row>
    <row r="4137" spans="1:4" x14ac:dyDescent="0.2">
      <c r="A4137" s="5">
        <v>4076</v>
      </c>
      <c r="B4137" s="138">
        <f>'Acct Summary 7-8'!D19</f>
        <v>512151</v>
      </c>
      <c r="C4137" s="2" t="s">
        <v>594</v>
      </c>
      <c r="D4137" s="2" t="str">
        <f t="shared" si="63"/>
        <v>Error?</v>
      </c>
    </row>
    <row r="4138" spans="1:4" x14ac:dyDescent="0.2">
      <c r="A4138" s="5">
        <v>4077</v>
      </c>
      <c r="B4138" s="138">
        <f>'Acct Summary 7-8'!E19</f>
        <v>841134</v>
      </c>
      <c r="C4138" s="2" t="s">
        <v>594</v>
      </c>
      <c r="D4138" s="2" t="str">
        <f t="shared" si="63"/>
        <v>Error?</v>
      </c>
    </row>
    <row r="4139" spans="1:4" x14ac:dyDescent="0.2">
      <c r="A4139" s="5">
        <v>4078</v>
      </c>
      <c r="B4139" s="138">
        <f>'Acct Summary 7-8'!F19</f>
        <v>385611</v>
      </c>
      <c r="C4139" s="2" t="s">
        <v>594</v>
      </c>
      <c r="D4139" s="2" t="str">
        <f t="shared" si="63"/>
        <v>Error?</v>
      </c>
    </row>
    <row r="4140" spans="1:4" x14ac:dyDescent="0.2">
      <c r="A4140" s="5">
        <v>4079</v>
      </c>
      <c r="B4140" s="138">
        <f>'Acct Summary 7-8'!G19</f>
        <v>218651</v>
      </c>
      <c r="C4140" s="2" t="s">
        <v>594</v>
      </c>
      <c r="D4140" s="2" t="str">
        <f t="shared" si="63"/>
        <v>Error?</v>
      </c>
    </row>
    <row r="4141" spans="1:4" x14ac:dyDescent="0.2">
      <c r="A4141" s="5">
        <v>4080</v>
      </c>
      <c r="B4141" s="138">
        <f>'Acct Summary 7-8'!H19</f>
        <v>277686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5469418</v>
      </c>
      <c r="C4171" s="2" t="s">
        <v>594</v>
      </c>
      <c r="D4171" s="2" t="str">
        <f t="shared" si="64"/>
        <v>Error?</v>
      </c>
    </row>
    <row r="4172" spans="1:4" x14ac:dyDescent="0.2">
      <c r="A4172" s="5">
        <v>4111</v>
      </c>
      <c r="B4172" s="138">
        <f>'Short-Term Long-Term Debt 24'!J49</f>
        <v>5155346</v>
      </c>
      <c r="C4172" s="2" t="s">
        <v>594</v>
      </c>
      <c r="D4172" s="2" t="str">
        <f t="shared" si="64"/>
        <v>Error?</v>
      </c>
    </row>
    <row r="4173" spans="1:4" x14ac:dyDescent="0.2">
      <c r="A4173" s="5">
        <v>4112</v>
      </c>
      <c r="B4173" s="138">
        <f>'Short-Term Long-Term Debt 24'!H49</f>
        <v>830952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-4410000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3100</v>
      </c>
      <c r="C4268" s="2" t="s">
        <v>594</v>
      </c>
      <c r="D4268" s="2" t="str">
        <f t="shared" si="65"/>
        <v>Error?</v>
      </c>
    </row>
    <row r="4269" spans="1:5" x14ac:dyDescent="0.2">
      <c r="A4269" s="12">
        <v>4208</v>
      </c>
      <c r="B4269" s="138">
        <f>'FP Info 3'!J16</f>
        <v>4031012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3114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14946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30431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6238</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89146726</v>
      </c>
      <c r="D4995" s="2" t="str">
        <f t="shared" si="77"/>
        <v>Error?</v>
      </c>
    </row>
    <row r="4996" spans="1:4" x14ac:dyDescent="0.2">
      <c r="A4996" s="12">
        <v>4935</v>
      </c>
      <c r="B4996" s="138">
        <f>'FP Info 3'!H31</f>
        <v>12302248.188000001</v>
      </c>
      <c r="D4996" s="2" t="str">
        <f t="shared" si="77"/>
        <v>Error?</v>
      </c>
    </row>
    <row r="4997" spans="1:4" x14ac:dyDescent="0.2">
      <c r="A4997" s="12">
        <v>4936</v>
      </c>
      <c r="B4997" s="138">
        <f>'FP Info 3'!H37</f>
        <v>5469418</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44155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2104745</v>
      </c>
      <c r="D5061" s="2" t="str">
        <f t="shared" si="78"/>
        <v>Error?</v>
      </c>
    </row>
    <row r="5062" spans="1:4" x14ac:dyDescent="0.2">
      <c r="A5062" s="10">
        <v>5001</v>
      </c>
      <c r="D5062" s="2" t="str">
        <f t="shared" si="78"/>
        <v>OK</v>
      </c>
    </row>
    <row r="5063" spans="1:4" x14ac:dyDescent="0.2">
      <c r="A5063" s="5">
        <v>5002</v>
      </c>
      <c r="B5063" s="138">
        <f>'Revenues 9-14'!C7</f>
        <v>35053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2183953</v>
      </c>
      <c r="C5066" s="2" t="s">
        <v>594</v>
      </c>
      <c r="D5066" s="2" t="str">
        <f t="shared" si="78"/>
        <v>Error?</v>
      </c>
    </row>
    <row r="5067" spans="1:4" x14ac:dyDescent="0.2">
      <c r="A5067" s="5">
        <v>5006</v>
      </c>
      <c r="B5067" s="138">
        <f>'Revenues 9-14'!C14</f>
        <v>1100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1100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4547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4547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3682</v>
      </c>
      <c r="D5093" s="2" t="str">
        <f t="shared" si="78"/>
        <v>Error?</v>
      </c>
    </row>
    <row r="5094" spans="1:4" x14ac:dyDescent="0.2">
      <c r="A5094" s="5">
        <v>5033</v>
      </c>
      <c r="B5094" s="138">
        <f>'Revenues 9-14'!C73</f>
        <v>2067</v>
      </c>
      <c r="D5094" s="2" t="str">
        <f t="shared" si="78"/>
        <v>Error?</v>
      </c>
    </row>
    <row r="5095" spans="1:4" x14ac:dyDescent="0.2">
      <c r="A5095" s="5">
        <v>5034</v>
      </c>
      <c r="B5095" s="138">
        <f>'Revenues 9-14'!C74</f>
        <v>36</v>
      </c>
      <c r="D5095" s="2" t="str">
        <f t="shared" si="78"/>
        <v>Error?</v>
      </c>
    </row>
    <row r="5096" spans="1:4" x14ac:dyDescent="0.2">
      <c r="A5096" s="5">
        <v>5035</v>
      </c>
      <c r="B5096" s="138">
        <f>'Revenues 9-14'!C75</f>
        <v>47569</v>
      </c>
      <c r="C5096" s="2" t="s">
        <v>594</v>
      </c>
      <c r="D5096" s="2" t="str">
        <f t="shared" si="78"/>
        <v>Error?</v>
      </c>
    </row>
    <row r="5097" spans="1:4" x14ac:dyDescent="0.2">
      <c r="A5097" s="5">
        <v>5036</v>
      </c>
      <c r="B5097" s="138">
        <f>'Revenues 9-14'!C77</f>
        <v>11887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5425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17312</v>
      </c>
      <c r="C5102" s="2" t="s">
        <v>594</v>
      </c>
      <c r="D5102" s="2" t="str">
        <f t="shared" si="78"/>
        <v>Error?</v>
      </c>
    </row>
    <row r="5103" spans="1:4" x14ac:dyDescent="0.2">
      <c r="A5103" s="5">
        <v>5042</v>
      </c>
      <c r="B5103" s="138">
        <f>'Revenues 9-14'!C84</f>
        <v>18725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1101</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19826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169</v>
      </c>
      <c r="D5114" s="2" t="str">
        <f t="shared" si="78"/>
        <v>Error?</v>
      </c>
    </row>
    <row r="5115" spans="1:4" x14ac:dyDescent="0.2">
      <c r="A5115" s="5">
        <v>5054</v>
      </c>
      <c r="B5115" s="138">
        <f>'Revenues 9-14'!C98</f>
        <v>18763</v>
      </c>
      <c r="D5115" s="2" t="str">
        <f t="shared" si="78"/>
        <v>Error?</v>
      </c>
    </row>
    <row r="5116" spans="1:4" x14ac:dyDescent="0.2">
      <c r="A5116" s="5">
        <v>5055</v>
      </c>
      <c r="B5116" s="138">
        <f>'Revenues 9-14'!C99</f>
        <v>3867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12553</v>
      </c>
      <c r="D5119" s="2" t="str">
        <f t="shared" ref="D5119:D5182" si="79">IF(ISBLANK(B5119),"OK",IF(A5119-B5119=0,"OK","Error?"))</f>
        <v>Error?</v>
      </c>
    </row>
    <row r="5120" spans="1:4" x14ac:dyDescent="0.2">
      <c r="A5120" s="5">
        <v>5059</v>
      </c>
      <c r="B5120" s="138">
        <f>'Revenues 9-14'!C108</f>
        <v>57291</v>
      </c>
      <c r="C5120" s="2" t="s">
        <v>594</v>
      </c>
      <c r="D5120" s="2" t="str">
        <f t="shared" si="79"/>
        <v>Error?</v>
      </c>
    </row>
    <row r="5121" spans="1:4" x14ac:dyDescent="0.2">
      <c r="A5121" s="5">
        <v>5060</v>
      </c>
      <c r="B5121" s="138">
        <f>'Revenues 9-14'!C109</f>
        <v>2331598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609485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609485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30675</v>
      </c>
      <c r="D5134" s="2" t="str">
        <f t="shared" si="79"/>
        <v>Error?</v>
      </c>
    </row>
    <row r="5135" spans="1:4" x14ac:dyDescent="0.2">
      <c r="A5135" s="5">
        <v>5074</v>
      </c>
      <c r="B5135" s="138">
        <f>'Revenues 9-14'!C126</f>
        <v>44507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75182</v>
      </c>
      <c r="C5147" s="2" t="s">
        <v>594</v>
      </c>
      <c r="D5147" s="2" t="str">
        <f t="shared" si="79"/>
        <v>Error?</v>
      </c>
    </row>
    <row r="5148" spans="1:4" x14ac:dyDescent="0.2">
      <c r="A5148" s="5">
        <v>5087</v>
      </c>
      <c r="B5148" s="138">
        <f>'Revenues 9-14'!C133</f>
        <v>18663</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22438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1400</v>
      </c>
      <c r="D5167" s="2" t="str">
        <f t="shared" si="79"/>
        <v>Error?</v>
      </c>
    </row>
    <row r="5168" spans="1:4" x14ac:dyDescent="0.2">
      <c r="A5168" s="5">
        <v>5107</v>
      </c>
      <c r="B5168" s="138">
        <f>'Revenues 9-14'!C147</f>
        <v>8977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109497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718982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80710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19449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100159</v>
      </c>
      <c r="C5246" s="2" t="s">
        <v>594</v>
      </c>
      <c r="D5246" s="2" t="str">
        <f t="shared" si="80"/>
        <v>Error?</v>
      </c>
    </row>
    <row r="5247" spans="1:4" x14ac:dyDescent="0.2">
      <c r="A5247" s="5">
        <v>5186</v>
      </c>
      <c r="B5247" s="138">
        <f>'Revenues 9-14'!C203</f>
        <v>84868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84868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239756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239756</v>
      </c>
      <c r="C5326" s="2" t="s">
        <v>594</v>
      </c>
      <c r="D5326" s="2" t="str">
        <f t="shared" si="82"/>
        <v>Error?</v>
      </c>
    </row>
    <row r="5327" spans="1:4" x14ac:dyDescent="0.2">
      <c r="A5327" s="5">
        <v>5266</v>
      </c>
      <c r="B5327" s="138">
        <f>'Revenues 9-14'!C275</f>
        <v>3290336</v>
      </c>
      <c r="C5327" s="2" t="s">
        <v>594</v>
      </c>
      <c r="D5327" s="2" t="str">
        <f t="shared" si="82"/>
        <v>Error?</v>
      </c>
    </row>
    <row r="5328" spans="1:4" x14ac:dyDescent="0.2">
      <c r="A5328" s="5">
        <v>5267</v>
      </c>
      <c r="B5328" s="138">
        <f>'Revenues 9-14'!D5</f>
        <v>438405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438405</v>
      </c>
      <c r="C5334" s="2" t="s">
        <v>594</v>
      </c>
      <c r="D5334" s="2" t="str">
        <f t="shared" si="82"/>
        <v>Error?</v>
      </c>
    </row>
    <row r="5335" spans="1:4" x14ac:dyDescent="0.2">
      <c r="A5335" s="5">
        <v>5274</v>
      </c>
      <c r="B5335" s="138">
        <f>'Revenues 9-14'!D14</f>
        <v>221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112992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113213</v>
      </c>
      <c r="C5339" s="2" t="s">
        <v>594</v>
      </c>
      <c r="D5339" s="2" t="str">
        <f t="shared" si="82"/>
        <v>Error?</v>
      </c>
    </row>
    <row r="5340" spans="1:4" x14ac:dyDescent="0.2">
      <c r="A5340" s="5">
        <v>5279</v>
      </c>
      <c r="B5340" s="138">
        <f>'Revenues 9-14'!D65</f>
        <v>2376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2376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1098</v>
      </c>
      <c r="D5354" s="2" t="str">
        <f t="shared" si="82"/>
        <v>Error?</v>
      </c>
    </row>
    <row r="5355" spans="1:4" x14ac:dyDescent="0.2">
      <c r="A5355" s="5">
        <v>5294</v>
      </c>
      <c r="B5355" s="138">
        <f>'Revenues 9-14'!D108</f>
        <v>1098</v>
      </c>
      <c r="C5355" s="2" t="s">
        <v>594</v>
      </c>
      <c r="D5355" s="2" t="str">
        <f t="shared" si="82"/>
        <v>Error?</v>
      </c>
    </row>
    <row r="5356" spans="1:4" x14ac:dyDescent="0.2">
      <c r="A5356" s="5">
        <v>5295</v>
      </c>
      <c r="B5356" s="138">
        <f>'Revenues 9-14'!D109</f>
        <v>555092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555092</v>
      </c>
      <c r="C5508" s="2" t="s">
        <v>594</v>
      </c>
      <c r="D5508" s="2" t="str">
        <f t="shared" si="85"/>
        <v>Error?</v>
      </c>
    </row>
    <row r="5509" spans="1:4" x14ac:dyDescent="0.2">
      <c r="A5509" s="5">
        <v>5448</v>
      </c>
      <c r="B5509" s="138">
        <f>'Revenues 9-14'!E5</f>
        <v>795182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795182</v>
      </c>
      <c r="C5513" s="2" t="s">
        <v>594</v>
      </c>
      <c r="D5513" s="2" t="str">
        <f t="shared" si="85"/>
        <v>Error?</v>
      </c>
    </row>
    <row r="5514" spans="1:4" x14ac:dyDescent="0.2">
      <c r="A5514" s="5">
        <v>5453</v>
      </c>
      <c r="B5514" s="138">
        <f>'Revenues 9-14'!E14</f>
        <v>407</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407</v>
      </c>
      <c r="C5518" s="2" t="s">
        <v>594</v>
      </c>
      <c r="D5518" s="2" t="str">
        <f t="shared" si="85"/>
        <v>Error?</v>
      </c>
    </row>
    <row r="5519" spans="1:4" x14ac:dyDescent="0.2">
      <c r="A5519" s="5">
        <v>5458</v>
      </c>
      <c r="B5519" s="138">
        <f>'Revenues 9-14'!E65</f>
        <v>416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416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796005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796005</v>
      </c>
      <c r="C5552" s="2" t="s">
        <v>594</v>
      </c>
      <c r="D5552" s="2" t="str">
        <f t="shared" si="85"/>
        <v>Error?</v>
      </c>
    </row>
    <row r="5553" spans="1:4" x14ac:dyDescent="0.2">
      <c r="A5553" s="5">
        <v>5492</v>
      </c>
      <c r="B5553" s="138">
        <f>'Revenues 9-14'!F5</f>
        <v>175318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175318</v>
      </c>
      <c r="C5557" s="2" t="s">
        <v>594</v>
      </c>
      <c r="D5557" s="2" t="str">
        <f t="shared" si="85"/>
        <v>Error?</v>
      </c>
    </row>
    <row r="5558" spans="1:4" x14ac:dyDescent="0.2">
      <c r="A5558" s="5">
        <v>5497</v>
      </c>
      <c r="B5558" s="138">
        <f>'Revenues 9-14'!F14</f>
        <v>88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88</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989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989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47837</v>
      </c>
      <c r="D5586" s="2" t="str">
        <f t="shared" si="86"/>
        <v>Error?</v>
      </c>
    </row>
    <row r="5587" spans="1:4" x14ac:dyDescent="0.2">
      <c r="A5587" s="5">
        <v>5526</v>
      </c>
      <c r="B5587" s="138">
        <f>'Revenues 9-14'!F108</f>
        <v>47837</v>
      </c>
      <c r="C5587" s="2" t="s">
        <v>594</v>
      </c>
      <c r="D5587" s="2" t="str">
        <f t="shared" si="86"/>
        <v>Error?</v>
      </c>
    </row>
    <row r="5588" spans="1:4" x14ac:dyDescent="0.2">
      <c r="A5588" s="5">
        <v>5527</v>
      </c>
      <c r="B5588" s="138">
        <f>'Revenues 9-14'!F109</f>
        <v>224232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126338</v>
      </c>
      <c r="D5615" s="2" t="str">
        <f t="shared" si="86"/>
        <v>Error?</v>
      </c>
    </row>
    <row r="5616" spans="1:4" x14ac:dyDescent="0.2">
      <c r="A5616" s="10">
        <v>5555</v>
      </c>
      <c r="D5616" s="2" t="str">
        <f t="shared" si="86"/>
        <v>OK</v>
      </c>
    </row>
    <row r="5617" spans="1:4" x14ac:dyDescent="0.2">
      <c r="A5617" s="5">
        <v>5556</v>
      </c>
      <c r="B5617" s="138">
        <f>'Revenues 9-14'!F152</f>
        <v>49907</v>
      </c>
      <c r="D5617" s="2" t="str">
        <f t="shared" si="86"/>
        <v>Error?</v>
      </c>
    </row>
    <row r="5618" spans="1:4" x14ac:dyDescent="0.2">
      <c r="A5618" s="5">
        <v>5557</v>
      </c>
      <c r="B5618" s="138">
        <f>'Revenues 9-14'!F154</f>
        <v>176245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176245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176245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400477</v>
      </c>
      <c r="C5720" s="2" t="s">
        <v>594</v>
      </c>
      <c r="D5720" s="2" t="str">
        <f t="shared" si="88"/>
        <v>Error?</v>
      </c>
    </row>
    <row r="5721" spans="1:4" x14ac:dyDescent="0.2">
      <c r="A5721" s="5">
        <v>5660</v>
      </c>
      <c r="B5721" s="138">
        <f>'Revenues 9-14'!G5</f>
        <v>142779</v>
      </c>
      <c r="D5721" s="2" t="str">
        <f t="shared" si="88"/>
        <v>Error?</v>
      </c>
    </row>
    <row r="5722" spans="1:4" x14ac:dyDescent="0.2">
      <c r="A5722" s="5">
        <v>5661</v>
      </c>
      <c r="B5722" s="138">
        <f>'Revenues 9-14'!G7</f>
        <v>0</v>
      </c>
      <c r="D5722" s="2" t="str">
        <f t="shared" si="88"/>
        <v>Error?</v>
      </c>
    </row>
    <row r="5723" spans="1:4" x14ac:dyDescent="0.2">
      <c r="A5723" s="5">
        <v>5662</v>
      </c>
      <c r="B5723" s="138">
        <f>'Revenues 9-14'!G8</f>
        <v>142779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285558</v>
      </c>
      <c r="C5725" s="2" t="s">
        <v>594</v>
      </c>
      <c r="D5725" s="2" t="str">
        <f t="shared" si="88"/>
        <v>Error?</v>
      </c>
    </row>
    <row r="5726" spans="1:4" x14ac:dyDescent="0.2">
      <c r="A5726" s="5">
        <v>5665</v>
      </c>
      <c r="B5726" s="138">
        <f>'Revenues 9-14'!G14</f>
        <v>149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1827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1976</v>
      </c>
      <c r="C5730" s="2" t="s">
        <v>594</v>
      </c>
      <c r="D5730" s="2" t="str">
        <f t="shared" si="88"/>
        <v>Error?</v>
      </c>
    </row>
    <row r="5731" spans="1:4" x14ac:dyDescent="0.2">
      <c r="A5731" s="5">
        <v>5670</v>
      </c>
      <c r="B5731" s="138">
        <f>'Revenues 9-14'!G65</f>
        <v>435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287969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1688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1688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69</v>
      </c>
      <c r="D5885" s="2" t="str">
        <f t="shared" si="90"/>
        <v>Error?</v>
      </c>
    </row>
    <row r="5886" spans="1:4" x14ac:dyDescent="0.2">
      <c r="A5886" s="5">
        <v>5825</v>
      </c>
      <c r="B5886" s="138">
        <f>'Revenues 9-14'!H108</f>
        <v>315570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317258</v>
      </c>
      <c r="C5915" s="2" t="s">
        <v>594</v>
      </c>
      <c r="D5915" s="2" t="str">
        <f t="shared" si="91"/>
        <v>Error?</v>
      </c>
    </row>
    <row r="5916" spans="1:4" x14ac:dyDescent="0.2">
      <c r="A5916" s="5">
        <v>5855</v>
      </c>
      <c r="B5916" s="138">
        <f>'Revenues 9-14'!I5</f>
        <v>43884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43884</v>
      </c>
      <c r="C5918" s="2" t="s">
        <v>594</v>
      </c>
      <c r="D5918" s="2" t="str">
        <f t="shared" si="91"/>
        <v>Error?</v>
      </c>
    </row>
    <row r="5919" spans="1:4" x14ac:dyDescent="0.2">
      <c r="A5919" s="5">
        <v>5858</v>
      </c>
      <c r="B5919" s="138">
        <f>'Revenues 9-14'!I14</f>
        <v>22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22</v>
      </c>
      <c r="C5923" s="2" t="s">
        <v>594</v>
      </c>
      <c r="D5923" s="2" t="str">
        <f t="shared" si="91"/>
        <v>Error?</v>
      </c>
    </row>
    <row r="5924" spans="1:4" x14ac:dyDescent="0.2">
      <c r="A5924" s="5">
        <v>5863</v>
      </c>
      <c r="B5924" s="138">
        <f>'Revenues 9-14'!I65</f>
        <v>4259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4259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48165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287969</v>
      </c>
      <c r="C6024" s="2" t="s">
        <v>594</v>
      </c>
      <c r="D6024" s="2" t="str">
        <f t="shared" si="93"/>
        <v>Error?</v>
      </c>
    </row>
    <row r="6025" spans="1:5" x14ac:dyDescent="0.2">
      <c r="A6025" s="5">
        <v>5964</v>
      </c>
      <c r="B6025" s="138">
        <f>'Revenues 9-14'!H109</f>
        <v>317258</v>
      </c>
      <c r="C6025" s="2" t="s">
        <v>594</v>
      </c>
      <c r="D6025" s="2" t="str">
        <f t="shared" si="93"/>
        <v>Error?</v>
      </c>
    </row>
    <row r="6026" spans="1:5" x14ac:dyDescent="0.2">
      <c r="A6026" s="5">
        <v>5965</v>
      </c>
      <c r="B6026" s="138">
        <f>'Revenues 9-14'!I109</f>
        <v>48165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41784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431.09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366</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798682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798682</v>
      </c>
      <c r="D6215" s="2" t="str">
        <f t="shared" si="96"/>
        <v>Error?</v>
      </c>
      <c r="E6215" s="2" t="s">
        <v>199</v>
      </c>
    </row>
    <row r="6216" spans="1:5" x14ac:dyDescent="0.2">
      <c r="A6216">
        <v>6155</v>
      </c>
      <c r="B6216" s="138">
        <f>'Assets-Liab 5-6'!J41</f>
        <v>798682</v>
      </c>
      <c r="D6216" s="2" t="str">
        <f t="shared" si="96"/>
        <v>Error?</v>
      </c>
      <c r="E6216" s="2" t="s">
        <v>199</v>
      </c>
    </row>
    <row r="6217" spans="1:5" x14ac:dyDescent="0.2">
      <c r="A6217">
        <v>6156</v>
      </c>
      <c r="B6217" s="138">
        <f>'Assets-Liab 5-6'!J4</f>
        <v>798682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633478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633478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633478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560806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560806</v>
      </c>
      <c r="D6229" s="2" t="str">
        <f t="shared" si="96"/>
        <v>Error?</v>
      </c>
      <c r="E6229" s="2" t="s">
        <v>199</v>
      </c>
    </row>
    <row r="6230" spans="1:5" x14ac:dyDescent="0.2">
      <c r="A6230">
        <v>6169</v>
      </c>
      <c r="B6230" s="138">
        <f>'Acct Summary 7-8'!J20</f>
        <v>72672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34953</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72672</v>
      </c>
      <c r="D6263" s="2" t="str">
        <f t="shared" si="96"/>
        <v>Error?</v>
      </c>
      <c r="E6263" s="2" t="s">
        <v>199</v>
      </c>
    </row>
    <row r="6264" spans="1:5" x14ac:dyDescent="0.2">
      <c r="A6264">
        <v>6203</v>
      </c>
      <c r="B6264" s="138">
        <f>'Acct Summary 7-8'!J79</f>
        <v>726010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798682</v>
      </c>
      <c r="D6266" s="2" t="str">
        <f t="shared" si="96"/>
        <v>Error?</v>
      </c>
      <c r="E6266" s="2" t="s">
        <v>199</v>
      </c>
    </row>
    <row r="6267" spans="1:5" x14ac:dyDescent="0.2">
      <c r="A6267">
        <v>6206</v>
      </c>
      <c r="B6267" s="138">
        <f>'Acct Summary 7-8'!C82</f>
        <v>101565</v>
      </c>
      <c r="D6267" s="2" t="str">
        <f t="shared" si="96"/>
        <v>Error?</v>
      </c>
      <c r="E6267" s="2" t="s">
        <v>199</v>
      </c>
    </row>
    <row r="6268" spans="1:5" x14ac:dyDescent="0.2">
      <c r="A6268">
        <v>6207</v>
      </c>
      <c r="B6268" s="138">
        <f>'Acct Summary 7-8'!D82</f>
        <v>42941</v>
      </c>
      <c r="D6268" s="2" t="str">
        <f t="shared" si="96"/>
        <v>Error?</v>
      </c>
      <c r="E6268" s="2" t="s">
        <v>199</v>
      </c>
    </row>
    <row r="6269" spans="1:5" x14ac:dyDescent="0.2">
      <c r="A6269">
        <v>6208</v>
      </c>
      <c r="B6269" s="138">
        <f>'Acct Summary 7-8'!E82</f>
        <v>-45129</v>
      </c>
      <c r="D6269" s="2" t="str">
        <f t="shared" si="96"/>
        <v>Error?</v>
      </c>
      <c r="E6269" s="2" t="s">
        <v>199</v>
      </c>
    </row>
    <row r="6270" spans="1:5" x14ac:dyDescent="0.2">
      <c r="A6270">
        <v>6209</v>
      </c>
      <c r="B6270" s="138">
        <f>'Acct Summary 7-8'!F82</f>
        <v>14866</v>
      </c>
      <c r="D6270" s="2" t="str">
        <f t="shared" si="96"/>
        <v>Error?</v>
      </c>
      <c r="E6270" s="2" t="s">
        <v>199</v>
      </c>
    </row>
    <row r="6271" spans="1:5" x14ac:dyDescent="0.2">
      <c r="A6271">
        <v>6210</v>
      </c>
      <c r="B6271" s="138">
        <f>'Acct Summary 7-8'!G82</f>
        <v>69318</v>
      </c>
      <c r="D6271" s="2" t="str">
        <f t="shared" ref="D6271:D6334" si="97">IF(ISBLANK(B6271),"OK",IF(A6271-B6271=0,"OK","Error?"))</f>
        <v>Error?</v>
      </c>
      <c r="E6271" s="2" t="s">
        <v>199</v>
      </c>
    </row>
    <row r="6272" spans="1:5" x14ac:dyDescent="0.2">
      <c r="A6272">
        <v>6211</v>
      </c>
      <c r="B6272" s="138">
        <f>'Acct Summary 7-8'!H82</f>
        <v>39572</v>
      </c>
      <c r="D6272" s="2" t="str">
        <f t="shared" si="97"/>
        <v>Error?</v>
      </c>
      <c r="E6272" s="2" t="s">
        <v>199</v>
      </c>
    </row>
    <row r="6273" spans="1:5" x14ac:dyDescent="0.2">
      <c r="A6273">
        <v>6212</v>
      </c>
      <c r="B6273" s="138">
        <f>'Acct Summary 7-8'!I82</f>
        <v>548212</v>
      </c>
      <c r="D6273" s="2" t="str">
        <f t="shared" si="97"/>
        <v>Error?</v>
      </c>
      <c r="E6273" s="2" t="s">
        <v>199</v>
      </c>
    </row>
    <row r="6274" spans="1:5" x14ac:dyDescent="0.2">
      <c r="A6274">
        <v>6213</v>
      </c>
      <c r="B6274" s="138">
        <f>'Acct Summary 7-8'!J82</f>
        <v>72672</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7.2155346592895075E-2</v>
      </c>
      <c r="D6276" s="2" t="str">
        <f t="shared" si="97"/>
        <v>Error?</v>
      </c>
      <c r="E6276" s="2" t="s">
        <v>199</v>
      </c>
    </row>
    <row r="6277" spans="1:5" x14ac:dyDescent="0.2">
      <c r="A6277">
        <v>6216</v>
      </c>
      <c r="B6277" s="138">
        <f>'Acct Summary 7-8'!D83</f>
        <v>6.0292779637409297E-2</v>
      </c>
      <c r="D6277" s="2" t="str">
        <f t="shared" si="97"/>
        <v>Error?</v>
      </c>
      <c r="E6277" s="2" t="s">
        <v>199</v>
      </c>
    </row>
    <row r="6278" spans="1:5" x14ac:dyDescent="0.2">
      <c r="A6278">
        <v>6217</v>
      </c>
      <c r="B6278" s="138">
        <f>'Acct Summary 7-8'!E83</f>
        <v>-0.14368998191497492</v>
      </c>
      <c r="D6278" s="2" t="str">
        <f t="shared" si="97"/>
        <v>Error?</v>
      </c>
      <c r="E6278" s="2" t="s">
        <v>199</v>
      </c>
    </row>
    <row r="6279" spans="1:5" x14ac:dyDescent="0.2">
      <c r="A6279">
        <v>6218</v>
      </c>
      <c r="B6279" s="138">
        <f>'Acct Summary 7-8'!F83</f>
        <v>4.0581118560415803E-2</v>
      </c>
      <c r="D6279" s="2" t="str">
        <f t="shared" si="97"/>
        <v>Error?</v>
      </c>
      <c r="E6279" s="2" t="s">
        <v>199</v>
      </c>
    </row>
    <row r="6280" spans="1:5" x14ac:dyDescent="0.2">
      <c r="A6280">
        <v>6219</v>
      </c>
      <c r="B6280" s="138">
        <f>'Acct Summary 7-8'!G83</f>
        <v>0.416271821572054</v>
      </c>
      <c r="D6280" s="2" t="str">
        <f t="shared" si="97"/>
        <v>Error?</v>
      </c>
      <c r="E6280" s="2" t="s">
        <v>199</v>
      </c>
    </row>
    <row r="6281" spans="1:5" x14ac:dyDescent="0.2">
      <c r="A6281">
        <v>6220</v>
      </c>
      <c r="B6281" s="138">
        <f>'Acct Summary 7-8'!H83</f>
        <v>6.8424128617719168E-2</v>
      </c>
      <c r="D6281" s="2" t="str">
        <f t="shared" si="97"/>
        <v>Error?</v>
      </c>
      <c r="E6281" s="2" t="s">
        <v>199</v>
      </c>
    </row>
    <row r="6282" spans="1:5" x14ac:dyDescent="0.2">
      <c r="A6282">
        <v>6221</v>
      </c>
      <c r="B6282" s="138">
        <f>'Acct Summary 7-8'!I83</f>
        <v>0.35485549761536112</v>
      </c>
      <c r="D6282" s="2" t="str">
        <f t="shared" si="97"/>
        <v>Error?</v>
      </c>
      <c r="E6282" s="2" t="s">
        <v>199</v>
      </c>
    </row>
    <row r="6283" spans="1:5" x14ac:dyDescent="0.2">
      <c r="A6283">
        <v>6222</v>
      </c>
      <c r="B6283" s="138">
        <f>'Acct Summary 7-8'!J83</f>
        <v>9.0989905869920701E-2</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630469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630469</v>
      </c>
      <c r="D6301" s="2" t="str">
        <f t="shared" si="97"/>
        <v>Error?</v>
      </c>
      <c r="E6301" s="2" t="s">
        <v>199</v>
      </c>
    </row>
    <row r="6302" spans="1:5" x14ac:dyDescent="0.2">
      <c r="A6302">
        <v>6241</v>
      </c>
      <c r="B6302" s="138">
        <f>'Revenues 9-14'!J14</f>
        <v>386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386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2623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2623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15000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6939</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633478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3775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1039</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31731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2682</v>
      </c>
      <c r="D6880" s="2" t="str">
        <f t="shared" si="106"/>
        <v>Error?</v>
      </c>
    </row>
    <row r="6881" spans="1:4" x14ac:dyDescent="0.2">
      <c r="A6881">
        <v>6820</v>
      </c>
      <c r="B6881" s="138">
        <f>'Expenditures 15-22'!K22</f>
        <v>2682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1039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1990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1990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1990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33161</v>
      </c>
      <c r="D6983" s="2" t="str">
        <f t="shared" si="108"/>
        <v>Error?</v>
      </c>
    </row>
    <row r="6984" spans="1:4" x14ac:dyDescent="0.2">
      <c r="A6984">
        <v>6923</v>
      </c>
      <c r="B6984" s="138">
        <f>'Expenditures 15-22'!K86</f>
        <v>33161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18532</v>
      </c>
      <c r="D6987" s="2" t="str">
        <f t="shared" si="108"/>
        <v>Error?</v>
      </c>
    </row>
    <row r="6988" spans="1:4" x14ac:dyDescent="0.2">
      <c r="A6988">
        <v>6927</v>
      </c>
      <c r="B6988" s="138">
        <f>'Expenditures 15-22'!K88</f>
        <v>18532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51693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3029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1500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1500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1500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560806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1500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633478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393</v>
      </c>
      <c r="D7079" s="2" t="str">
        <f t="shared" si="109"/>
        <v>Error?</v>
      </c>
    </row>
    <row r="7080" spans="1:4" x14ac:dyDescent="0.2">
      <c r="A7080">
        <v>7019</v>
      </c>
      <c r="B7080" s="138">
        <f>'Expenditures 15-22'!K226</f>
        <v>393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42927</v>
      </c>
      <c r="D7093" s="2" t="str">
        <f t="shared" si="109"/>
        <v>Error?</v>
      </c>
    </row>
    <row r="7094" spans="1:4" x14ac:dyDescent="0.2">
      <c r="A7094">
        <v>7033</v>
      </c>
      <c r="B7094" s="138">
        <f>'Expenditures 15-22'!K254</f>
        <v>42927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67421</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67421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63846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63846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348082</v>
      </c>
      <c r="D7172" s="2" t="str">
        <f t="shared" si="111"/>
        <v>Error?</v>
      </c>
    </row>
    <row r="7173" spans="1:4" x14ac:dyDescent="0.2">
      <c r="A7173">
        <v>7112</v>
      </c>
      <c r="B7173" s="138">
        <f>'Expenditures 15-22'!D325</f>
        <v>41670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4287</v>
      </c>
      <c r="D7175" s="2" t="str">
        <f t="shared" si="111"/>
        <v>Error?</v>
      </c>
    </row>
    <row r="7176" spans="1:4" x14ac:dyDescent="0.2">
      <c r="A7176">
        <v>7115</v>
      </c>
      <c r="B7176" s="138">
        <f>'Expenditures 15-22'!G325</f>
        <v>15879</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409918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18505</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18505</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1116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1116</v>
      </c>
      <c r="D7198" s="2" t="str">
        <f t="shared" si="111"/>
        <v>Error?</v>
      </c>
    </row>
    <row r="7199" spans="1:4" x14ac:dyDescent="0.2">
      <c r="A7199">
        <v>7138</v>
      </c>
      <c r="B7199" s="138">
        <f>'Expenditures 15-22'!C330</f>
        <v>348082</v>
      </c>
      <c r="D7199" s="2" t="str">
        <f t="shared" si="111"/>
        <v>Error?</v>
      </c>
    </row>
    <row r="7200" spans="1:4" x14ac:dyDescent="0.2">
      <c r="A7200">
        <v>7139</v>
      </c>
      <c r="B7200" s="138">
        <f>'Expenditures 15-22'!D330</f>
        <v>109091</v>
      </c>
      <c r="D7200" s="2" t="str">
        <f t="shared" si="111"/>
        <v>Error?</v>
      </c>
    </row>
    <row r="7201" spans="1:4" x14ac:dyDescent="0.2">
      <c r="A7201">
        <v>7140</v>
      </c>
      <c r="B7201" s="138">
        <f>'Expenditures 15-22'!E330</f>
        <v>83467</v>
      </c>
      <c r="D7201" s="2" t="str">
        <f t="shared" si="111"/>
        <v>Error?</v>
      </c>
    </row>
    <row r="7202" spans="1:4" x14ac:dyDescent="0.2">
      <c r="A7202">
        <v>7141</v>
      </c>
      <c r="B7202" s="138">
        <f>'Expenditures 15-22'!F330</f>
        <v>4287</v>
      </c>
      <c r="D7202" s="2" t="str">
        <f t="shared" si="111"/>
        <v>Error?</v>
      </c>
    </row>
    <row r="7203" spans="1:4" x14ac:dyDescent="0.2">
      <c r="A7203">
        <v>7142</v>
      </c>
      <c r="B7203" s="138">
        <f>'Expenditures 15-22'!G330</f>
        <v>15879</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560806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348082</v>
      </c>
      <c r="D7216" s="2" t="str">
        <f t="shared" si="111"/>
        <v>Error?</v>
      </c>
    </row>
    <row r="7217" spans="1:4" x14ac:dyDescent="0.2">
      <c r="A7217">
        <v>7156</v>
      </c>
      <c r="B7217" s="138">
        <f>'Expenditures 15-22'!D342</f>
        <v>109091</v>
      </c>
      <c r="D7217" s="2" t="str">
        <f t="shared" si="111"/>
        <v>Error?</v>
      </c>
    </row>
    <row r="7218" spans="1:4" x14ac:dyDescent="0.2">
      <c r="A7218">
        <v>7157</v>
      </c>
      <c r="B7218" s="138">
        <f>'Expenditures 15-22'!E342</f>
        <v>83467</v>
      </c>
      <c r="D7218" s="2" t="str">
        <f t="shared" si="111"/>
        <v>Error?</v>
      </c>
    </row>
    <row r="7219" spans="1:4" x14ac:dyDescent="0.2">
      <c r="A7219">
        <v>7158</v>
      </c>
      <c r="B7219" s="138">
        <f>'Expenditures 15-22'!F342</f>
        <v>4287</v>
      </c>
      <c r="D7219" s="2" t="str">
        <f t="shared" si="111"/>
        <v>Error?</v>
      </c>
    </row>
    <row r="7220" spans="1:4" x14ac:dyDescent="0.2">
      <c r="A7220">
        <v>7159</v>
      </c>
      <c r="B7220" s="138">
        <f>'Expenditures 15-22'!G342</f>
        <v>15879</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560806</v>
      </c>
      <c r="D7224" s="2" t="str">
        <f t="shared" si="111"/>
        <v>Error?</v>
      </c>
    </row>
    <row r="7225" spans="1:4" x14ac:dyDescent="0.2">
      <c r="A7225">
        <v>7164</v>
      </c>
      <c r="B7225" s="138">
        <f>'Expenditures 15-22'!K343</f>
        <v>72672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27440</v>
      </c>
      <c r="D7263" s="2" t="str">
        <f t="shared" si="112"/>
        <v>Error?</v>
      </c>
    </row>
    <row r="7264" spans="1:4" x14ac:dyDescent="0.2">
      <c r="A7264">
        <f t="shared" si="113"/>
        <v>7203</v>
      </c>
      <c r="B7264" s="138">
        <f>'Expenditures 15-22'!D17</f>
        <v>3275</v>
      </c>
      <c r="D7264" s="2" t="str">
        <f t="shared" si="112"/>
        <v>Error?</v>
      </c>
    </row>
    <row r="7265" spans="1:5" x14ac:dyDescent="0.2">
      <c r="A7265">
        <f t="shared" si="113"/>
        <v>7204</v>
      </c>
      <c r="B7265" s="138">
        <f>'Expenditures 15-22'!E17</f>
        <v>1016</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4529</v>
      </c>
      <c r="D7624" s="2" t="str">
        <f t="shared" si="124"/>
        <v>Error?</v>
      </c>
      <c r="E7624" s="2" t="s">
        <v>19</v>
      </c>
    </row>
    <row r="7625" spans="1:5" x14ac:dyDescent="0.2">
      <c r="A7625">
        <f t="shared" si="123"/>
        <v>7564</v>
      </c>
      <c r="B7625" s="138">
        <f>'Cap Outlay Deprec 26'!I17</f>
        <v>452.9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518673.9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73948</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315501</v>
      </c>
      <c r="D7713" s="2" t="str">
        <f t="shared" si="126"/>
        <v>Error?</v>
      </c>
      <c r="E7713" s="2" t="s">
        <v>881</v>
      </c>
    </row>
    <row r="7714" spans="1:6" x14ac:dyDescent="0.2">
      <c r="A7714">
        <v>7653</v>
      </c>
      <c r="B7714" s="138">
        <f>'Rest Tax Levies-Tort Im 25'!K9</f>
        <v>8977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315501</v>
      </c>
      <c r="D7718" s="2" t="str">
        <f t="shared" si="126"/>
        <v>Error?</v>
      </c>
      <c r="E7718" s="2" t="s">
        <v>881</v>
      </c>
    </row>
    <row r="7719" spans="1:6" x14ac:dyDescent="0.2">
      <c r="A7719">
        <v>7658</v>
      </c>
      <c r="B7719" s="138">
        <f>'Rest Tax Levies-Tort Im 25'!K12</f>
        <v>8977</v>
      </c>
      <c r="D7719" s="2" t="str">
        <f t="shared" si="126"/>
        <v>Error?</v>
      </c>
      <c r="E7719" s="2" t="s">
        <v>881</v>
      </c>
    </row>
    <row r="7720" spans="1:6" x14ac:dyDescent="0.2">
      <c r="A7720">
        <v>7659</v>
      </c>
      <c r="B7720" s="138">
        <f>'Rest Tax Levies-Tort Im 25'!H14</f>
        <v>35053</v>
      </c>
      <c r="D7720" s="2" t="str">
        <f t="shared" si="126"/>
        <v>Error?</v>
      </c>
      <c r="E7720" s="2" t="s">
        <v>881</v>
      </c>
    </row>
    <row r="7721" spans="1:6" x14ac:dyDescent="0.2">
      <c r="A7721">
        <v>7660</v>
      </c>
      <c r="B7721" s="138">
        <f>'Rest Tax Levies-Tort Im 25'!K14</f>
        <v>8977</v>
      </c>
      <c r="D7721" s="2" t="str">
        <f t="shared" si="126"/>
        <v>Error?</v>
      </c>
      <c r="E7721" s="2" t="s">
        <v>881</v>
      </c>
    </row>
    <row r="7722" spans="1:6" x14ac:dyDescent="0.2">
      <c r="A7722">
        <v>7661</v>
      </c>
      <c r="B7722" s="138">
        <f>'Rest Tax Levies-Tort Im 25'!J15</f>
        <v>212868</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212868</v>
      </c>
      <c r="D7730" s="2" t="str">
        <f t="shared" si="126"/>
        <v>Error?</v>
      </c>
      <c r="E7730" s="2" t="s">
        <v>881</v>
      </c>
    </row>
    <row r="7731" spans="1:6" x14ac:dyDescent="0.2">
      <c r="A7731">
        <v>7670</v>
      </c>
      <c r="B7731" s="138">
        <f>'Revenues 9-14'!H103</f>
        <v>315501</v>
      </c>
      <c r="D7731" s="2" t="str">
        <f t="shared" si="126"/>
        <v>Error?</v>
      </c>
      <c r="E7731" s="2" t="s">
        <v>881</v>
      </c>
    </row>
    <row r="7732" spans="1:6" x14ac:dyDescent="0.2">
      <c r="A7732">
        <v>7671</v>
      </c>
      <c r="B7732" s="138">
        <f>'Rest Tax Levies-Tort Im 25'!J24</f>
        <v>176581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176581</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Heritage CUSD 8</v>
      </c>
      <c r="B7" s="2403"/>
      <c r="C7" s="2403"/>
      <c r="D7" s="2440"/>
      <c r="E7" s="2441">
        <f>COVER!A13</f>
        <v>9010008026</v>
      </c>
      <c r="F7" s="2442"/>
      <c r="G7" s="2409" t="str">
        <f>COVER!T23</f>
        <v>065-018319</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RUSSELL LEIGH &amp; ASSOCIATES</v>
      </c>
      <c r="H9" s="2416"/>
      <c r="I9" s="2416"/>
      <c r="J9" s="2416"/>
      <c r="K9" s="2416"/>
      <c r="L9" s="2417"/>
    </row>
    <row r="10" spans="1:29" ht="13.5" customHeight="1" x14ac:dyDescent="0.2">
      <c r="A10" s="2399" t="str">
        <f>COVER!A38</f>
        <v>TOM DAVIS</v>
      </c>
      <c r="B10" s="2400"/>
      <c r="C10" s="2400"/>
      <c r="D10" s="2400"/>
      <c r="E10" s="2400"/>
      <c r="F10" s="2401"/>
      <c r="G10" s="2415" t="str">
        <f>COVER!T17</f>
        <v>228 E MAIN ST</v>
      </c>
      <c r="H10" s="2428"/>
      <c r="I10" s="2428"/>
      <c r="J10" s="2428"/>
      <c r="K10" s="2428"/>
      <c r="L10" s="2429"/>
    </row>
    <row r="11" spans="1:29" ht="13.5" customHeight="1" x14ac:dyDescent="0.2">
      <c r="A11" s="1185" t="s">
        <v>1599</v>
      </c>
      <c r="B11" s="1186"/>
      <c r="C11" s="1187"/>
      <c r="D11" s="1192"/>
      <c r="E11" s="1187"/>
      <c r="F11" s="1191"/>
      <c r="G11" s="2415" t="str">
        <f>COVER!T19</f>
        <v>HOOPESTON</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admin@russleigh.com</v>
      </c>
      <c r="J13" s="2437"/>
      <c r="K13" s="2437"/>
      <c r="L13" s="2438"/>
    </row>
    <row r="14" spans="1:29" ht="13.5" customHeight="1" x14ac:dyDescent="0.2">
      <c r="A14" s="2415" t="str">
        <f>COVER!A19</f>
        <v>512 W 1ST STREET</v>
      </c>
      <c r="B14" s="2428"/>
      <c r="C14" s="2428"/>
      <c r="D14" s="2428"/>
      <c r="E14" s="2428"/>
      <c r="F14" s="2429"/>
      <c r="G14" s="1196" t="s">
        <v>1247</v>
      </c>
      <c r="H14" s="1194"/>
      <c r="I14" s="1194"/>
      <c r="J14" s="1194"/>
      <c r="K14" s="1194"/>
      <c r="L14" s="1195"/>
    </row>
    <row r="15" spans="1:29" ht="13.5" customHeight="1" x14ac:dyDescent="0.2">
      <c r="A15" s="2415" t="str">
        <f>COVER!A21</f>
        <v>HOMER</v>
      </c>
      <c r="B15" s="2428"/>
      <c r="C15" s="2428"/>
      <c r="D15" s="2428"/>
      <c r="E15" s="2428"/>
      <c r="F15" s="2429"/>
      <c r="G15" s="2425" t="str">
        <f>COVER!T15</f>
        <v>RUSS LEIGH</v>
      </c>
      <c r="H15" s="2426"/>
      <c r="I15" s="2426"/>
      <c r="J15" s="2426"/>
      <c r="K15" s="2426"/>
      <c r="L15" s="2427"/>
    </row>
    <row r="16" spans="1:29" ht="12.2" customHeight="1" x14ac:dyDescent="0.2">
      <c r="A16" s="2405">
        <f>COVER!A25</f>
        <v>61849</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217-283-9336</v>
      </c>
      <c r="H18" s="2403"/>
      <c r="I18" s="2403"/>
      <c r="J18" s="2403"/>
      <c r="K18" s="2402" t="str">
        <f>COVER!X21</f>
        <v>217-283-9736</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Heritage CUSD 8</v>
      </c>
      <c r="B1" s="2439"/>
      <c r="C1" s="2439"/>
      <c r="D1" s="2439"/>
    </row>
    <row r="2" spans="1:11" s="1215" customFormat="1" ht="12.75" x14ac:dyDescent="0.2">
      <c r="A2" s="2444">
        <f>'Single Audit Cover'!E7</f>
        <v>9010008026</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Heritage CUSD 8</v>
      </c>
      <c r="B1" s="2447"/>
      <c r="C1" s="2447"/>
      <c r="D1" s="2447"/>
      <c r="E1" s="2447"/>
    </row>
    <row r="2" spans="1:5" x14ac:dyDescent="0.2">
      <c r="A2" s="2448">
        <f>'Single Audit Cover'!E7</f>
        <v>9010008026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239756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-14946</v>
      </c>
    </row>
    <row r="19" spans="1:4" ht="13.5" thickBot="1" x14ac:dyDescent="0.25">
      <c r="A19" s="1265" t="s">
        <v>1297</v>
      </c>
      <c r="D19" s="1266">
        <f>SUM(D10:D17)</f>
        <v>224810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224810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224810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Heritage CUSD 8</v>
      </c>
      <c r="B1" s="2452"/>
      <c r="C1" s="2452"/>
      <c r="D1" s="2452"/>
      <c r="E1" s="2452"/>
      <c r="F1" s="2452"/>
    </row>
    <row r="2" spans="1:7" ht="13.5" customHeight="1" x14ac:dyDescent="0.2">
      <c r="A2" s="2453">
        <f>'Single Audit Cover'!E7</f>
        <v>9010008026</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Heritage CUSD 8</v>
      </c>
      <c r="C1" s="2464"/>
      <c r="D1" s="2464"/>
      <c r="E1" s="2464"/>
      <c r="F1" s="2464"/>
      <c r="G1" s="2464"/>
      <c r="H1" s="2464"/>
      <c r="I1" s="2464"/>
      <c r="J1" s="2464"/>
      <c r="K1" s="2464"/>
      <c r="L1" s="2464"/>
      <c r="M1" s="2464"/>
    </row>
    <row r="2" spans="2:14" ht="15" x14ac:dyDescent="0.2">
      <c r="B2" s="2453">
        <f>'Single Audit Cover'!E7</f>
        <v>9010008026</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Heritage CUSD 8</v>
      </c>
      <c r="C1" s="2472"/>
      <c r="D1" s="2472"/>
      <c r="E1" s="2472"/>
      <c r="F1" s="2472"/>
      <c r="G1" s="2472"/>
      <c r="H1" s="2472"/>
      <c r="I1" s="2472"/>
      <c r="J1" s="1422"/>
    </row>
    <row r="2" spans="2:10" s="317" customFormat="1" ht="12.75" customHeight="1" x14ac:dyDescent="0.2">
      <c r="B2" s="2473">
        <f>'Single Audit Cover'!E7</f>
        <v>9010008026</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1951</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Heritage CUSD 8</v>
      </c>
      <c r="C1" s="2471"/>
      <c r="D1" s="2471"/>
      <c r="E1" s="2471"/>
      <c r="F1" s="2471"/>
      <c r="G1" s="2471"/>
      <c r="H1" s="2471"/>
      <c r="I1" s="2471"/>
      <c r="J1" s="2471"/>
      <c r="K1" s="2471"/>
      <c r="L1" s="1374"/>
      <c r="M1" s="1374"/>
    </row>
    <row r="2" spans="1:13" ht="12" customHeight="1" x14ac:dyDescent="0.2">
      <c r="B2" s="2473">
        <f>'Single Audit Cover'!E7</f>
        <v>9010008026</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Heritage CUSD 8</v>
      </c>
      <c r="C1" s="2498"/>
      <c r="D1" s="2498"/>
      <c r="E1" s="2498"/>
      <c r="F1" s="2498"/>
      <c r="G1" s="2498"/>
      <c r="H1" s="2498"/>
      <c r="I1" s="2498"/>
      <c r="J1" s="2498"/>
      <c r="K1" s="2498"/>
      <c r="L1" s="1465"/>
    </row>
    <row r="2" spans="1:12" ht="12.75" customHeight="1" x14ac:dyDescent="0.2">
      <c r="B2" s="2499">
        <f>'Single Audit Cover'!E7</f>
        <v>9010008026</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Heritage CUSD 8</v>
      </c>
      <c r="C1" s="2471"/>
      <c r="D1" s="2471"/>
      <c r="E1" s="1491"/>
    </row>
    <row r="2" spans="2:5" s="1282" customFormat="1" ht="12.75" customHeight="1" x14ac:dyDescent="0.2">
      <c r="B2" s="2473">
        <f>'Single Audit Cover'!E7</f>
        <v>9010008026</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4d435f69-8686-490b-bd6d-b153bf22ab50"/>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d21dc803-237d-4c68-8692-8d731fd29118"/>
    <ds:schemaRef ds:uri="6ce3111e-7420-4802-b50a-75d4e9a0b980"/>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2018-10-30T22:20:28Z</cp:lastPrinted>
  <dcterms:created xsi:type="dcterms:W3CDTF">2003-10-29T19:06:34Z</dcterms:created>
  <dcterms:modified xsi:type="dcterms:W3CDTF">2018-11-20T17:34:34Z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