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777"/>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 SEFA " sheetId="183" r:id="rId28"/>
    <sheet name="SEFA NOTES" sheetId="173" r:id="rId29"/>
    <sheet name="SF&amp;QC Sec-1" sheetId="174" r:id="rId30"/>
    <sheet name="SF&amp;QC Sec-2" sheetId="175" r:id="rId31"/>
    <sheet name="SF&amp;QC Sec-3 " sheetId="184" r:id="rId32"/>
    <sheet name="SF&amp;QC Sec-4" sheetId="176" r:id="rId33"/>
    <sheet name="SSPAF" sheetId="177" r:id="rId34"/>
  </sheets>
  <externalReferences>
    <externalReference r:id="rId35"/>
  </externalReferences>
  <definedNames>
    <definedName name="ASDSA" localSheetId="27">#REF!</definedName>
    <definedName name="ASDSA" localSheetId="31">#REF!</definedName>
    <definedName name="ASDSA">#REF!</definedName>
    <definedName name="_xlnm.Print_Area" localSheetId="27">' SEFA '!$B$1:$M$120</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2">'SF&amp;QC Sec-4'!$A$1:$K$52</definedName>
    <definedName name="_xlnm.Print_Area" localSheetId="16">'Shared Outsourced Services 31'!$A$1:$F$43</definedName>
    <definedName name="_xlnm.Print_Area" localSheetId="25">'Single Audit Checklist'!$A$1:$D$124</definedName>
    <definedName name="_xlnm.Print_Area" localSheetId="24">'Single Audit Cover'!$A$1:$L$52</definedName>
    <definedName name="_xlnm.Print_Titles" localSheetId="27">' SEFA '!$1:$10</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32">#REF!</definedName>
    <definedName name="SCHADDRS" localSheetId="25">#REF!</definedName>
    <definedName name="SCHADDRS" localSheetId="24">#REF!</definedName>
    <definedName name="SCHADDRS" localSheetId="33">#REF!</definedName>
    <definedName name="SCHADDRS">#REF!</definedName>
    <definedName name="SCHADDRS1" localSheetId="27">#REF!</definedName>
    <definedName name="SCHADDRS1" localSheetId="31">#REF!</definedName>
    <definedName name="SCHADDRS1">#REF!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32">#REF!</definedName>
    <definedName name="SCHCTY" localSheetId="25">#REF!</definedName>
    <definedName name="SCHCTY" localSheetId="24">#REF!</definedName>
    <definedName name="SCHCTY" localSheetId="33">#REF!</definedName>
    <definedName name="SCHCTY">#REF!</definedName>
    <definedName name="SCHCTY1" localSheetId="27">#REF!</definedName>
    <definedName name="SCHCTY1" localSheetId="31">#REF!</definedName>
    <definedName name="SCHCTY1">#REF!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32">#REF!</definedName>
    <definedName name="SCHNMBR" localSheetId="25">#REF!</definedName>
    <definedName name="SCHNMBR" localSheetId="24">#REF!</definedName>
    <definedName name="SCHNMBR" localSheetId="33">#REF!</definedName>
    <definedName name="SCHNMBR">#REF!</definedName>
    <definedName name="SCHNMBR1" localSheetId="27">#REF!</definedName>
    <definedName name="SCHNMBR1" localSheetId="31">#REF!</definedName>
    <definedName name="SCHNMBR1">#REF!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32">#REF!</definedName>
    <definedName name="SCHNME" localSheetId="25">#REF!</definedName>
    <definedName name="SCHNME" localSheetId="24">#REF!</definedName>
    <definedName name="SCHNME" localSheetId="33">#REF!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32">#REF!</definedName>
    <definedName name="SUPT" localSheetId="25">#REF!</definedName>
    <definedName name="SUPT" localSheetId="24">#REF!</definedName>
    <definedName name="SUPT" localSheetId="33">#REF!</definedName>
    <definedName name="SUPT">#REF!</definedName>
    <definedName name="SUPT1" localSheetId="27">#REF!</definedName>
    <definedName name="SUPT1" localSheetId="31">#REF!</definedName>
    <definedName name="SUPT1">#REF!</definedName>
  </definedNames>
  <calcPr calcId="162913"/>
</workbook>
</file>

<file path=xl/calcChain.xml><?xml version="1.0" encoding="utf-8"?>
<calcChain xmlns="http://schemas.openxmlformats.org/spreadsheetml/2006/main">
  <c r="K15" i="183" l="1"/>
  <c r="I15" i="183"/>
  <c r="G15" i="183"/>
  <c r="F15" i="183"/>
  <c r="E15" i="183"/>
  <c r="L14" i="183"/>
  <c r="L15" i="183" s="1"/>
  <c r="O21" i="183" l="1"/>
  <c r="O23" i="183"/>
  <c r="O24" i="183"/>
  <c r="O25" i="183"/>
  <c r="O26" i="183"/>
  <c r="O27" i="183"/>
  <c r="O29" i="183"/>
  <c r="O30" i="183"/>
  <c r="O31" i="183"/>
  <c r="O32" i="183"/>
  <c r="O33" i="183"/>
  <c r="O34" i="183"/>
  <c r="O36" i="183"/>
  <c r="O38" i="183"/>
  <c r="O39" i="183"/>
  <c r="O40" i="183"/>
  <c r="O41" i="183"/>
  <c r="O42" i="183"/>
  <c r="O43" i="183"/>
  <c r="O44" i="183"/>
  <c r="O46" i="183"/>
  <c r="O47" i="183"/>
  <c r="O48" i="183"/>
  <c r="O49" i="183"/>
  <c r="O51" i="183"/>
  <c r="O52" i="183"/>
  <c r="O53" i="183"/>
  <c r="O54" i="183"/>
  <c r="O55" i="183"/>
  <c r="O57" i="183"/>
  <c r="O58" i="183"/>
  <c r="O59" i="183"/>
  <c r="O61" i="183"/>
  <c r="O62" i="183"/>
  <c r="O63" i="183"/>
  <c r="O64" i="183"/>
  <c r="O65" i="183"/>
  <c r="O67" i="183"/>
  <c r="O68" i="183"/>
  <c r="O69" i="183"/>
  <c r="O70" i="183"/>
  <c r="O72" i="183"/>
  <c r="O73" i="183"/>
  <c r="O74" i="183"/>
  <c r="O75" i="183"/>
  <c r="O76" i="183"/>
  <c r="O77" i="183"/>
  <c r="O78" i="183"/>
  <c r="O79" i="183"/>
  <c r="O80" i="183"/>
  <c r="O81" i="183"/>
  <c r="O82" i="183"/>
  <c r="O83" i="183"/>
  <c r="O85" i="183"/>
  <c r="O87" i="183"/>
  <c r="O88" i="183"/>
  <c r="O89" i="183"/>
  <c r="O90" i="183"/>
  <c r="O91" i="183"/>
  <c r="O92" i="183"/>
  <c r="O94" i="183"/>
  <c r="O96" i="183"/>
  <c r="O97" i="183"/>
  <c r="O98" i="183"/>
  <c r="O100" i="183"/>
  <c r="O20" i="183"/>
  <c r="D8" i="11" l="1"/>
  <c r="B4" i="184" l="1"/>
  <c r="B2" i="183" l="1"/>
  <c r="B4" i="183"/>
  <c r="E22" i="183"/>
  <c r="F22" i="183"/>
  <c r="G22" i="183"/>
  <c r="I22" i="183"/>
  <c r="K22" i="183"/>
  <c r="L22" i="183"/>
  <c r="M22" i="183"/>
  <c r="E28" i="183"/>
  <c r="F28" i="183"/>
  <c r="G28" i="183"/>
  <c r="I28" i="183"/>
  <c r="K28" i="183"/>
  <c r="L28" i="183"/>
  <c r="M28" i="183"/>
  <c r="E35" i="183"/>
  <c r="F35" i="183"/>
  <c r="G35" i="183"/>
  <c r="I35" i="183"/>
  <c r="K35" i="183"/>
  <c r="L35" i="183"/>
  <c r="M35" i="183"/>
  <c r="E45" i="183"/>
  <c r="F45" i="183"/>
  <c r="G45" i="183"/>
  <c r="I45" i="183"/>
  <c r="K45" i="183"/>
  <c r="L45" i="183"/>
  <c r="M45" i="183"/>
  <c r="E50" i="183"/>
  <c r="F50" i="183"/>
  <c r="G50" i="183"/>
  <c r="I50" i="183"/>
  <c r="K50" i="183"/>
  <c r="L50" i="183"/>
  <c r="M50" i="183"/>
  <c r="E56" i="183"/>
  <c r="F56" i="183"/>
  <c r="G56" i="183"/>
  <c r="I56" i="183"/>
  <c r="K56" i="183"/>
  <c r="L56" i="183"/>
  <c r="B60" i="183"/>
  <c r="E60" i="183"/>
  <c r="F60" i="183"/>
  <c r="G60" i="183"/>
  <c r="I60" i="183"/>
  <c r="K60" i="183"/>
  <c r="L60" i="183"/>
  <c r="M60" i="183"/>
  <c r="E66" i="183"/>
  <c r="F66" i="183"/>
  <c r="G66" i="183"/>
  <c r="I66" i="183"/>
  <c r="K66" i="183"/>
  <c r="L66" i="183"/>
  <c r="E71" i="183"/>
  <c r="F71" i="183"/>
  <c r="G71" i="183"/>
  <c r="I71" i="183"/>
  <c r="K71" i="183"/>
  <c r="L71" i="183"/>
  <c r="E84" i="183"/>
  <c r="F84" i="183"/>
  <c r="G84" i="183"/>
  <c r="I84" i="183"/>
  <c r="K84" i="183"/>
  <c r="L84" i="183"/>
  <c r="E93" i="183"/>
  <c r="E95" i="183" s="1"/>
  <c r="F93" i="183"/>
  <c r="F95" i="183" s="1"/>
  <c r="G93" i="183"/>
  <c r="G95" i="183" s="1"/>
  <c r="I93" i="183"/>
  <c r="I95" i="183" s="1"/>
  <c r="K93" i="183"/>
  <c r="K95" i="183" s="1"/>
  <c r="L93" i="183"/>
  <c r="M95" i="183"/>
  <c r="E99" i="183"/>
  <c r="F99" i="183"/>
  <c r="G99" i="183"/>
  <c r="I99" i="183"/>
  <c r="K99" i="183"/>
  <c r="L99" i="183"/>
  <c r="K101" i="183" l="1"/>
  <c r="O66" i="183"/>
  <c r="O50" i="183"/>
  <c r="O22" i="183"/>
  <c r="F86" i="183"/>
  <c r="F101" i="183" s="1"/>
  <c r="O99" i="183"/>
  <c r="O28" i="183"/>
  <c r="O93" i="183"/>
  <c r="O71" i="183"/>
  <c r="O56" i="183"/>
  <c r="O35" i="183"/>
  <c r="K37" i="183"/>
  <c r="E37" i="183"/>
  <c r="L86" i="183"/>
  <c r="O84" i="183"/>
  <c r="M37" i="183"/>
  <c r="G37" i="183"/>
  <c r="L95" i="183"/>
  <c r="O95" i="183" s="1"/>
  <c r="G86" i="183"/>
  <c r="G101" i="183" s="1"/>
  <c r="O60" i="183"/>
  <c r="O45" i="183"/>
  <c r="I37" i="183"/>
  <c r="M101" i="183"/>
  <c r="K86" i="183"/>
  <c r="E86" i="183"/>
  <c r="E101" i="183" s="1"/>
  <c r="I86" i="183"/>
  <c r="I101" i="183" s="1"/>
  <c r="L37" i="183"/>
  <c r="F37" i="183"/>
  <c r="E48" i="8"/>
  <c r="C48" i="8"/>
  <c r="H45" i="8"/>
  <c r="E45" i="8"/>
  <c r="C45" i="8"/>
  <c r="L101" i="183" l="1"/>
  <c r="O101" i="183" s="1"/>
  <c r="O37" i="183"/>
  <c r="O86" i="183"/>
  <c r="K18" i="4"/>
  <c r="J18" i="4"/>
  <c r="H18" i="4"/>
  <c r="G18" i="4"/>
  <c r="F18" i="4"/>
  <c r="E18" i="4"/>
  <c r="D18" i="4"/>
  <c r="D182" i="34" l="1"/>
  <c r="E121" i="5" l="1"/>
  <c r="C178" i="5"/>
  <c r="H51" i="4"/>
  <c r="H76" i="4" s="1"/>
  <c r="J108" i="5"/>
  <c r="D154" i="5"/>
  <c r="C216" i="5"/>
  <c r="G33" i="29"/>
  <c r="K62" i="29"/>
  <c r="E72" i="29"/>
  <c r="L261" i="29"/>
  <c r="K260" i="29"/>
  <c r="C18" i="4"/>
  <c r="J259" i="5"/>
  <c r="J273" i="5" s="1"/>
  <c r="L194" i="29"/>
  <c r="L196" i="29" s="1"/>
  <c r="G224" i="5"/>
  <c r="K6" i="29"/>
  <c r="K189" i="29"/>
  <c r="K80" i="29"/>
  <c r="I44" i="4"/>
  <c r="G108" i="5"/>
  <c r="E178" i="5"/>
  <c r="H12" i="5"/>
  <c r="H184" i="5"/>
  <c r="K184" i="5"/>
  <c r="K10" i="29"/>
  <c r="K39" i="29"/>
  <c r="D47" i="29"/>
  <c r="F53" i="29"/>
  <c r="H65" i="29"/>
  <c r="K68" i="29"/>
  <c r="K73" i="29"/>
  <c r="K88" i="29"/>
  <c r="K200" i="29"/>
  <c r="K326" i="29"/>
  <c r="G34" i="3"/>
  <c r="G41" i="3" s="1"/>
  <c r="I48" i="4"/>
  <c r="H5" i="12"/>
  <c r="H14" i="12" s="1"/>
  <c r="C114" i="5"/>
  <c r="C5" i="4" s="1"/>
  <c r="K26" i="29"/>
  <c r="H160" i="29"/>
  <c r="C40" i="5"/>
  <c r="D108" i="5"/>
  <c r="C121" i="5"/>
  <c r="I172" i="5"/>
  <c r="I173" i="5" s="1"/>
  <c r="I6" i="4" s="1"/>
  <c r="L110" i="29"/>
  <c r="L112" i="29" s="1"/>
  <c r="C18" i="5"/>
  <c r="K67" i="5"/>
  <c r="D140" i="5"/>
  <c r="C228" i="5"/>
  <c r="K31" i="29"/>
  <c r="K266" i="29"/>
  <c r="E37" i="4"/>
  <c r="F211" i="5"/>
  <c r="E108" i="5"/>
  <c r="H178" i="5"/>
  <c r="D12" i="5"/>
  <c r="F63" i="5"/>
  <c r="G184" i="5"/>
  <c r="G67" i="5"/>
  <c r="D18" i="5"/>
  <c r="D228" i="5"/>
  <c r="K14" i="29"/>
  <c r="K22" i="29"/>
  <c r="I42" i="29"/>
  <c r="K45" i="29"/>
  <c r="E57" i="29"/>
  <c r="K157" i="29"/>
  <c r="E160" i="29"/>
  <c r="K302" i="29"/>
  <c r="C67" i="5"/>
  <c r="C108" i="5"/>
  <c r="H172" i="5"/>
  <c r="G259" i="5"/>
  <c r="E12" i="5"/>
  <c r="K5" i="29"/>
  <c r="C33" i="29"/>
  <c r="D34" i="3"/>
  <c r="D41" i="3" s="1"/>
  <c r="J44" i="4"/>
  <c r="G144" i="5"/>
  <c r="K13" i="29"/>
  <c r="E76" i="4"/>
  <c r="G140" i="5"/>
  <c r="J18" i="5"/>
  <c r="C211" i="5"/>
  <c r="F34" i="3"/>
  <c r="F41" i="3" s="1"/>
  <c r="K44" i="4"/>
  <c r="E38" i="4"/>
  <c r="K9" i="12"/>
  <c r="F259" i="5"/>
  <c r="K18" i="29"/>
  <c r="K25" i="29"/>
  <c r="K79" i="29"/>
  <c r="D127" i="29"/>
  <c r="D129" i="29" s="1"/>
  <c r="D151" i="29" s="1"/>
  <c r="E184" i="29"/>
  <c r="I330" i="29"/>
  <c r="I342" i="29" s="1"/>
  <c r="K53" i="4"/>
  <c r="F18" i="5"/>
  <c r="K101" i="29"/>
  <c r="K223" i="29"/>
  <c r="E67" i="5"/>
  <c r="K27" i="29"/>
  <c r="I108" i="5"/>
  <c r="J121" i="5"/>
  <c r="G178" i="5"/>
  <c r="L270" i="29"/>
  <c r="F303" i="29"/>
  <c r="F312" i="29" s="1"/>
  <c r="K109" i="29"/>
  <c r="K166" i="29"/>
  <c r="K191" i="29"/>
  <c r="D238" i="29"/>
  <c r="K232" i="29"/>
  <c r="F44" i="4"/>
  <c r="J76" i="4"/>
  <c r="I12" i="5"/>
  <c r="I67" i="5"/>
  <c r="F108" i="5"/>
  <c r="G121" i="5"/>
  <c r="D178" i="5"/>
  <c r="D211" i="5"/>
  <c r="C224" i="5"/>
  <c r="H33" i="29"/>
  <c r="K30" i="29"/>
  <c r="C65" i="29"/>
  <c r="K59" i="29"/>
  <c r="F72" i="29"/>
  <c r="K83" i="29"/>
  <c r="L238" i="29"/>
  <c r="K339" i="29"/>
  <c r="C34" i="3"/>
  <c r="C41" i="3" s="1"/>
  <c r="N21" i="3"/>
  <c r="G44" i="4"/>
  <c r="J12" i="5"/>
  <c r="J67" i="5"/>
  <c r="H108" i="5"/>
  <c r="H121" i="5"/>
  <c r="C140" i="5"/>
  <c r="C144" i="5"/>
  <c r="F178" i="5"/>
  <c r="F184" i="5"/>
  <c r="G211" i="5"/>
  <c r="D224" i="5"/>
  <c r="I33" i="29"/>
  <c r="K16" i="29"/>
  <c r="K52" i="29"/>
  <c r="F65" i="29"/>
  <c r="H72" i="29"/>
  <c r="L92" i="29"/>
  <c r="K170" i="29"/>
  <c r="F61" i="34" s="1"/>
  <c r="K274" i="29"/>
  <c r="G350" i="29"/>
  <c r="G352" i="29" s="1"/>
  <c r="G367" i="29" s="1"/>
  <c r="K34" i="3"/>
  <c r="K41" i="3" s="1"/>
  <c r="H18" i="5"/>
  <c r="F114" i="5"/>
  <c r="F5" i="4" s="1"/>
  <c r="F131" i="5"/>
  <c r="C154" i="5"/>
  <c r="K17" i="29"/>
  <c r="G42" i="29"/>
  <c r="K50" i="29"/>
  <c r="K136" i="29"/>
  <c r="K206" i="29"/>
  <c r="F64" i="34" s="1"/>
  <c r="K288" i="29"/>
  <c r="H293" i="29"/>
  <c r="H295" i="29" s="1"/>
  <c r="H137" i="29"/>
  <c r="H139" i="29" s="1"/>
  <c r="K202" i="29"/>
  <c r="D67" i="5"/>
  <c r="C184" i="5"/>
  <c r="H259" i="5"/>
  <c r="H273" i="5" s="1"/>
  <c r="K12" i="29"/>
  <c r="K308" i="29"/>
  <c r="G184" i="29"/>
  <c r="G210" i="29" s="1"/>
  <c r="F65" i="34" s="1"/>
  <c r="K323" i="29"/>
  <c r="J178" i="5"/>
  <c r="C201" i="5"/>
  <c r="K36" i="29"/>
  <c r="C42" i="29"/>
  <c r="G47" i="29"/>
  <c r="H53" i="29"/>
  <c r="L65" i="29"/>
  <c r="K63" i="29"/>
  <c r="K89" i="29"/>
  <c r="E127" i="29"/>
  <c r="E129" i="29" s="1"/>
  <c r="H184" i="29"/>
  <c r="K201" i="29"/>
  <c r="K242" i="29"/>
  <c r="J330" i="29"/>
  <c r="J342" i="29" s="1"/>
  <c r="H34" i="3"/>
  <c r="H41" i="3" s="1"/>
  <c r="E39" i="4"/>
  <c r="G18" i="5"/>
  <c r="C93" i="5"/>
  <c r="D114" i="5"/>
  <c r="D5" i="4" s="1"/>
  <c r="C131" i="5"/>
  <c r="K178" i="5"/>
  <c r="K20" i="29"/>
  <c r="E42" i="29"/>
  <c r="H47" i="29"/>
  <c r="I53" i="29"/>
  <c r="K60" i="29"/>
  <c r="K91" i="29"/>
  <c r="J127" i="29"/>
  <c r="J129" i="29" s="1"/>
  <c r="J151" i="29" s="1"/>
  <c r="K351" i="29"/>
  <c r="D76" i="4"/>
  <c r="K7" i="12"/>
  <c r="E172" i="5"/>
  <c r="G191" i="5"/>
  <c r="E259" i="5"/>
  <c r="E273" i="5" s="1"/>
  <c r="K163" i="29"/>
  <c r="H168" i="29"/>
  <c r="H172" i="29" s="1"/>
  <c r="K333" i="29"/>
  <c r="D191" i="5"/>
  <c r="F216" i="5"/>
  <c r="L42" i="29"/>
  <c r="K82" i="29"/>
  <c r="C57" i="29"/>
  <c r="K55" i="29"/>
  <c r="K143" i="29"/>
  <c r="L334" i="29"/>
  <c r="L340" i="29" s="1"/>
  <c r="H147" i="29"/>
  <c r="H149" i="29" s="1"/>
  <c r="K142" i="29"/>
  <c r="K215" i="29"/>
  <c r="D229" i="29"/>
  <c r="K250" i="29"/>
  <c r="H41" i="4"/>
  <c r="H44" i="4" s="1"/>
  <c r="K18" i="5"/>
  <c r="G154" i="5"/>
  <c r="C191" i="5"/>
  <c r="D216" i="5"/>
  <c r="K8" i="29"/>
  <c r="J42" i="29"/>
  <c r="K40" i="29"/>
  <c r="H57" i="29"/>
  <c r="K69" i="29"/>
  <c r="K95" i="29"/>
  <c r="K183" i="29"/>
  <c r="L229" i="29"/>
  <c r="C76" i="4"/>
  <c r="C75" i="5"/>
  <c r="D131" i="5"/>
  <c r="F191" i="5"/>
  <c r="G216" i="5"/>
  <c r="C259" i="5"/>
  <c r="K23" i="29"/>
  <c r="I57" i="29"/>
  <c r="K64" i="29"/>
  <c r="K97" i="29"/>
  <c r="K146" i="29"/>
  <c r="K254" i="29"/>
  <c r="D303" i="29"/>
  <c r="D312" i="29" s="1"/>
  <c r="K322" i="29"/>
  <c r="I47" i="4"/>
  <c r="C44" i="4"/>
  <c r="G76" i="4"/>
  <c r="F12" i="5"/>
  <c r="F67" i="5"/>
  <c r="C82" i="5"/>
  <c r="D121" i="5"/>
  <c r="J172" i="5"/>
  <c r="D184" i="5"/>
  <c r="K259" i="5"/>
  <c r="K273" i="5" s="1"/>
  <c r="D33" i="29"/>
  <c r="K28" i="29"/>
  <c r="K38" i="29"/>
  <c r="I47" i="29"/>
  <c r="D57" i="29"/>
  <c r="H127" i="29"/>
  <c r="H129" i="29" s="1"/>
  <c r="I184" i="29"/>
  <c r="I210" i="29" s="1"/>
  <c r="F66" i="34" s="1"/>
  <c r="G201" i="5"/>
  <c r="K111" i="29"/>
  <c r="K251" i="29"/>
  <c r="C47" i="29"/>
  <c r="K44" i="29"/>
  <c r="D53" i="29"/>
  <c r="G65" i="29"/>
  <c r="J72" i="29"/>
  <c r="K86" i="29"/>
  <c r="E172" i="29"/>
  <c r="K171" i="29"/>
  <c r="K195" i="29"/>
  <c r="D330" i="29"/>
  <c r="D342" i="29" s="1"/>
  <c r="H350" i="29"/>
  <c r="H352" i="29" s="1"/>
  <c r="H100" i="29"/>
  <c r="K93" i="29"/>
  <c r="K128" i="29"/>
  <c r="K138" i="29"/>
  <c r="K164" i="29"/>
  <c r="K190" i="29"/>
  <c r="K227" i="29"/>
  <c r="L293" i="29"/>
  <c r="L310" i="29"/>
  <c r="K324" i="29"/>
  <c r="A16" i="169"/>
  <c r="I34" i="3"/>
  <c r="I41" i="3" s="1"/>
  <c r="K52" i="4"/>
  <c r="K76" i="4" s="1"/>
  <c r="C12" i="5"/>
  <c r="E18" i="5"/>
  <c r="H67" i="5"/>
  <c r="K108" i="5"/>
  <c r="F121" i="5"/>
  <c r="F154" i="5"/>
  <c r="I178" i="5"/>
  <c r="I274" i="5" s="1"/>
  <c r="I7" i="4" s="1"/>
  <c r="G228" i="5"/>
  <c r="K29" i="29"/>
  <c r="L47" i="29"/>
  <c r="K94" i="29"/>
  <c r="K207" i="29"/>
  <c r="K290" i="29"/>
  <c r="H42" i="29"/>
  <c r="L72" i="29"/>
  <c r="K81" i="29"/>
  <c r="K123" i="29"/>
  <c r="K205" i="29"/>
  <c r="H334" i="29"/>
  <c r="K334" i="29" s="1"/>
  <c r="F74" i="34" s="1"/>
  <c r="K332" i="29"/>
  <c r="G127" i="29"/>
  <c r="G129" i="29" s="1"/>
  <c r="G151" i="29" s="1"/>
  <c r="F58" i="34" s="1"/>
  <c r="K220" i="29"/>
  <c r="F69" i="34" s="1"/>
  <c r="D270" i="29"/>
  <c r="K263" i="29"/>
  <c r="H310" i="29"/>
  <c r="J350" i="29"/>
  <c r="J352" i="29" s="1"/>
  <c r="J367" i="29" s="1"/>
  <c r="K96" i="29"/>
  <c r="K124" i="29"/>
  <c r="K144" i="29"/>
  <c r="K167" i="29"/>
  <c r="K234" i="29"/>
  <c r="K252" i="29"/>
  <c r="D277" i="29"/>
  <c r="K272" i="29"/>
  <c r="K328" i="29"/>
  <c r="K348" i="29"/>
  <c r="C350" i="29"/>
  <c r="C352" i="29" s="1"/>
  <c r="C367" i="29" s="1"/>
  <c r="K355" i="29"/>
  <c r="E34" i="3"/>
  <c r="E41" i="3" s="1"/>
  <c r="D44" i="4"/>
  <c r="F76" i="4"/>
  <c r="E40" i="4"/>
  <c r="G12" i="5"/>
  <c r="I18" i="5"/>
  <c r="D82" i="5"/>
  <c r="G114" i="5"/>
  <c r="G5" i="4" s="1"/>
  <c r="K121" i="5"/>
  <c r="K172" i="5"/>
  <c r="E33" i="29"/>
  <c r="K21" i="29"/>
  <c r="K32" i="29"/>
  <c r="K46" i="29"/>
  <c r="D65" i="29"/>
  <c r="K307" i="29"/>
  <c r="K337" i="29"/>
  <c r="K11" i="29"/>
  <c r="G53" i="29"/>
  <c r="F184" i="29"/>
  <c r="F210" i="29" s="1"/>
  <c r="K280" i="29"/>
  <c r="K155" i="29"/>
  <c r="E194" i="29"/>
  <c r="E196" i="29" s="1"/>
  <c r="K188" i="29"/>
  <c r="K228" i="29"/>
  <c r="K273" i="29"/>
  <c r="G330" i="29"/>
  <c r="G342" i="29" s="1"/>
  <c r="J57" i="29"/>
  <c r="K98" i="29"/>
  <c r="K148" i="29"/>
  <c r="K219" i="29"/>
  <c r="G303" i="29"/>
  <c r="G312" i="29" s="1"/>
  <c r="L362" i="29"/>
  <c r="L365" i="29" s="1"/>
  <c r="K78" i="29"/>
  <c r="E84" i="29"/>
  <c r="K87" i="29"/>
  <c r="K185" i="29"/>
  <c r="K276" i="29"/>
  <c r="H303" i="29"/>
  <c r="E330" i="29"/>
  <c r="E342" i="29" s="1"/>
  <c r="L350" i="29"/>
  <c r="L352" i="29" s="1"/>
  <c r="J34" i="3"/>
  <c r="J41" i="3" s="1"/>
  <c r="K12" i="5"/>
  <c r="F224" i="5"/>
  <c r="D259" i="5"/>
  <c r="L33" i="29"/>
  <c r="K9" i="29"/>
  <c r="K24" i="29"/>
  <c r="F42" i="29"/>
  <c r="E53" i="29"/>
  <c r="K75" i="29"/>
  <c r="K321" i="29"/>
  <c r="K236" i="29"/>
  <c r="E303" i="29"/>
  <c r="K360" i="29"/>
  <c r="H362" i="29"/>
  <c r="H365" i="29" s="1"/>
  <c r="K126" i="29"/>
  <c r="K241" i="29"/>
  <c r="K284" i="29"/>
  <c r="K364" i="29"/>
  <c r="E47" i="29"/>
  <c r="K51" i="29"/>
  <c r="F57" i="29"/>
  <c r="J65" i="29"/>
  <c r="H92" i="29"/>
  <c r="K92" i="29" s="1"/>
  <c r="K85" i="29"/>
  <c r="K120" i="29"/>
  <c r="K145" i="29"/>
  <c r="C303" i="29"/>
  <c r="C312" i="29" s="1"/>
  <c r="K301" i="29"/>
  <c r="K325" i="29"/>
  <c r="E350" i="29"/>
  <c r="E352" i="29" s="1"/>
  <c r="E367" i="29" s="1"/>
  <c r="F33" i="29"/>
  <c r="K15" i="29"/>
  <c r="K37" i="29"/>
  <c r="F47" i="29"/>
  <c r="L53" i="29"/>
  <c r="G57" i="29"/>
  <c r="E65" i="29"/>
  <c r="K61" i="29"/>
  <c r="K133" i="29"/>
  <c r="K165" i="29"/>
  <c r="K182" i="29"/>
  <c r="K193" i="29"/>
  <c r="K225" i="29"/>
  <c r="L243" i="29"/>
  <c r="K268" i="29"/>
  <c r="L285" i="29"/>
  <c r="L303" i="29"/>
  <c r="K338" i="29"/>
  <c r="L127" i="29"/>
  <c r="L129" i="29" s="1"/>
  <c r="L149" i="29"/>
  <c r="L147" i="29"/>
  <c r="L160" i="29"/>
  <c r="L184" i="29"/>
  <c r="K222" i="29"/>
  <c r="K233" i="29"/>
  <c r="D257" i="29"/>
  <c r="K245" i="29"/>
  <c r="K253" i="29"/>
  <c r="K265" i="29"/>
  <c r="K275" i="29"/>
  <c r="K289" i="29"/>
  <c r="J303" i="29"/>
  <c r="J312" i="29" s="1"/>
  <c r="L330" i="29"/>
  <c r="K327" i="29"/>
  <c r="K354" i="29"/>
  <c r="H357" i="29"/>
  <c r="K56" i="29"/>
  <c r="D72" i="29"/>
  <c r="L84" i="29"/>
  <c r="E100" i="29"/>
  <c r="K99" i="29"/>
  <c r="K125" i="29"/>
  <c r="D184" i="29"/>
  <c r="D210" i="29" s="1"/>
  <c r="L204" i="29"/>
  <c r="L208" i="29" s="1"/>
  <c r="K221" i="29"/>
  <c r="F70" i="34" s="1"/>
  <c r="K240" i="29"/>
  <c r="D243" i="29"/>
  <c r="I303" i="29"/>
  <c r="I312" i="29" s="1"/>
  <c r="H330" i="29"/>
  <c r="K329" i="29"/>
  <c r="K349" i="29"/>
  <c r="K363" i="29"/>
  <c r="J33" i="29"/>
  <c r="K19" i="29"/>
  <c r="K41" i="29"/>
  <c r="J47" i="29"/>
  <c r="L57" i="29"/>
  <c r="I65" i="29"/>
  <c r="C72" i="29"/>
  <c r="K67" i="29"/>
  <c r="H84" i="29"/>
  <c r="L100" i="29"/>
  <c r="L137" i="29"/>
  <c r="L139" i="29" s="1"/>
  <c r="K169" i="29"/>
  <c r="H204" i="29"/>
  <c r="H208" i="29" s="1"/>
  <c r="K199" i="29"/>
  <c r="K217" i="29"/>
  <c r="L257" i="29"/>
  <c r="K256" i="29"/>
  <c r="L277" i="29"/>
  <c r="F330" i="29"/>
  <c r="F342" i="29" s="1"/>
  <c r="D350" i="29"/>
  <c r="D352" i="29" s="1"/>
  <c r="D367" i="29" s="1"/>
  <c r="K106" i="29"/>
  <c r="E137" i="29"/>
  <c r="E139" i="29" s="1"/>
  <c r="K134" i="29"/>
  <c r="K159" i="29"/>
  <c r="K216" i="29"/>
  <c r="F67" i="34" s="1"/>
  <c r="K224" i="29"/>
  <c r="F71" i="34" s="1"/>
  <c r="K235" i="29"/>
  <c r="K247" i="29"/>
  <c r="K255" i="29"/>
  <c r="K267" i="29"/>
  <c r="K278" i="29"/>
  <c r="K291" i="29"/>
  <c r="K309" i="29"/>
  <c r="K356" i="29"/>
  <c r="J53" i="29"/>
  <c r="I72" i="29"/>
  <c r="K70" i="29"/>
  <c r="K90" i="29"/>
  <c r="H110" i="29"/>
  <c r="H112" i="29" s="1"/>
  <c r="K105" i="29"/>
  <c r="I127" i="29"/>
  <c r="I129" i="29" s="1"/>
  <c r="I151" i="29" s="1"/>
  <c r="F59" i="34" s="1"/>
  <c r="K135" i="29"/>
  <c r="J184" i="29"/>
  <c r="J210" i="29" s="1"/>
  <c r="H194" i="29"/>
  <c r="H196" i="29" s="1"/>
  <c r="K203" i="29"/>
  <c r="K246" i="29"/>
  <c r="K264" i="29"/>
  <c r="K283" i="29"/>
  <c r="D285" i="29"/>
  <c r="K7" i="29"/>
  <c r="D42" i="29"/>
  <c r="K49" i="29"/>
  <c r="C53" i="29"/>
  <c r="G72" i="29"/>
  <c r="K71" i="29"/>
  <c r="K107" i="29"/>
  <c r="F127" i="29"/>
  <c r="F129" i="29" s="1"/>
  <c r="F151" i="29" s="1"/>
  <c r="K158" i="29"/>
  <c r="K248" i="29"/>
  <c r="K292" i="29"/>
  <c r="K306" i="29"/>
  <c r="E310" i="29"/>
  <c r="K320" i="29"/>
  <c r="I350" i="29"/>
  <c r="I352" i="29" s="1"/>
  <c r="I367" i="29" s="1"/>
  <c r="L357" i="29"/>
  <c r="K108" i="29"/>
  <c r="K122" i="29"/>
  <c r="C127" i="29"/>
  <c r="C129" i="29" s="1"/>
  <c r="C151" i="29" s="1"/>
  <c r="K130" i="29"/>
  <c r="D14" i="4" s="1"/>
  <c r="L168" i="29"/>
  <c r="L172" i="29" s="1"/>
  <c r="K180" i="29"/>
  <c r="C184" i="29"/>
  <c r="C210" i="29" s="1"/>
  <c r="K192" i="29"/>
  <c r="K218" i="29"/>
  <c r="F68" i="34" s="1"/>
  <c r="K226" i="29"/>
  <c r="K237" i="29"/>
  <c r="K249" i="29"/>
  <c r="D261" i="29"/>
  <c r="K259" i="29"/>
  <c r="K269" i="29"/>
  <c r="K282" i="29"/>
  <c r="K319" i="29"/>
  <c r="C330" i="29"/>
  <c r="C342" i="29" s="1"/>
  <c r="F350" i="29"/>
  <c r="F352" i="29" s="1"/>
  <c r="F367" i="29" s="1"/>
  <c r="K361" i="29"/>
  <c r="H312" i="29" l="1"/>
  <c r="H102" i="29"/>
  <c r="L342" i="29"/>
  <c r="L312" i="29"/>
  <c r="K84" i="29"/>
  <c r="K77" i="4"/>
  <c r="K303" i="29"/>
  <c r="H13" i="4" s="1"/>
  <c r="D77" i="4"/>
  <c r="J274" i="5"/>
  <c r="J7" i="4" s="1"/>
  <c r="K184" i="29"/>
  <c r="F13" i="4" s="1"/>
  <c r="E210" i="29"/>
  <c r="D74" i="29"/>
  <c r="D114" i="29" s="1"/>
  <c r="H74" i="29"/>
  <c r="H77" i="4"/>
  <c r="K261" i="29"/>
  <c r="K310" i="29"/>
  <c r="H15" i="4" s="1"/>
  <c r="H151" i="29"/>
  <c r="J109" i="5"/>
  <c r="J4" i="4" s="1"/>
  <c r="G109" i="5"/>
  <c r="G4" i="4" s="1"/>
  <c r="C172" i="5"/>
  <c r="C173" i="5" s="1"/>
  <c r="C6" i="4" s="1"/>
  <c r="H173" i="5"/>
  <c r="H6" i="4" s="1"/>
  <c r="K53" i="29"/>
  <c r="L210" i="29"/>
  <c r="K243" i="29"/>
  <c r="K109" i="5"/>
  <c r="K4" i="4" s="1"/>
  <c r="C109" i="5"/>
  <c r="I76" i="4"/>
  <c r="I77" i="4" s="1"/>
  <c r="D172" i="5"/>
  <c r="E44" i="4"/>
  <c r="E77" i="4" s="1"/>
  <c r="L102" i="29"/>
  <c r="K257" i="29"/>
  <c r="L151" i="29"/>
  <c r="K194" i="29"/>
  <c r="K196" i="29" s="1"/>
  <c r="F63" i="34" s="1"/>
  <c r="K277" i="29"/>
  <c r="H367" i="29"/>
  <c r="K229" i="29"/>
  <c r="L74" i="29"/>
  <c r="C74" i="29"/>
  <c r="C114" i="29" s="1"/>
  <c r="L279" i="29"/>
  <c r="L295" i="29" s="1"/>
  <c r="K238" i="29"/>
  <c r="J173" i="5"/>
  <c r="J6" i="4" s="1"/>
  <c r="E174" i="29"/>
  <c r="I74" i="29"/>
  <c r="I114" i="29" s="1"/>
  <c r="F17" i="11" s="1"/>
  <c r="D109" i="5"/>
  <c r="H174" i="29"/>
  <c r="K330" i="29"/>
  <c r="J13" i="4" s="1"/>
  <c r="K137" i="29"/>
  <c r="K139" i="29" s="1"/>
  <c r="D15" i="4" s="1"/>
  <c r="K204" i="29"/>
  <c r="K208" i="29" s="1"/>
  <c r="F16" i="4" s="1"/>
  <c r="L174" i="29"/>
  <c r="K362" i="29"/>
  <c r="K365" i="29" s="1"/>
  <c r="K16" i="4" s="1"/>
  <c r="E102" i="29"/>
  <c r="K47" i="29"/>
  <c r="G22" i="108" s="1"/>
  <c r="C77" i="4"/>
  <c r="F273" i="5"/>
  <c r="F274" i="5" s="1"/>
  <c r="F7" i="4" s="1"/>
  <c r="K147" i="29"/>
  <c r="K149" i="29" s="1"/>
  <c r="D16" i="4" s="1"/>
  <c r="K57" i="29"/>
  <c r="G24" i="108" s="1"/>
  <c r="K168" i="29"/>
  <c r="K172" i="29" s="1"/>
  <c r="E16" i="4" s="1"/>
  <c r="E74" i="29"/>
  <c r="H210" i="29"/>
  <c r="K42" i="29"/>
  <c r="G21" i="108" s="1"/>
  <c r="F172" i="5"/>
  <c r="F173" i="5" s="1"/>
  <c r="I109" i="5"/>
  <c r="I4" i="4" s="1"/>
  <c r="I8" i="4" s="1"/>
  <c r="D279" i="29"/>
  <c r="D295" i="29" s="1"/>
  <c r="K33" i="29"/>
  <c r="E19" i="108" s="1"/>
  <c r="K160" i="29"/>
  <c r="H274" i="5"/>
  <c r="H7" i="4" s="1"/>
  <c r="E312" i="29"/>
  <c r="K350" i="29"/>
  <c r="K352" i="29" s="1"/>
  <c r="K13" i="4" s="1"/>
  <c r="K270" i="29"/>
  <c r="H340" i="29"/>
  <c r="H342" i="29" s="1"/>
  <c r="K100" i="29"/>
  <c r="D173" i="5"/>
  <c r="D6" i="4" s="1"/>
  <c r="C273" i="5"/>
  <c r="C274" i="5" s="1"/>
  <c r="C7" i="4" s="1"/>
  <c r="D273" i="5"/>
  <c r="D274" i="5" s="1"/>
  <c r="D7" i="4" s="1"/>
  <c r="K293" i="29"/>
  <c r="G16" i="4" s="1"/>
  <c r="G74" i="29"/>
  <c r="G114" i="29" s="1"/>
  <c r="G172" i="5"/>
  <c r="G173" i="5" s="1"/>
  <c r="G6" i="4" s="1"/>
  <c r="E109" i="5"/>
  <c r="E4" i="4" s="1"/>
  <c r="H109" i="5"/>
  <c r="H4" i="4" s="1"/>
  <c r="K110" i="29"/>
  <c r="K112" i="29" s="1"/>
  <c r="C16" i="4" s="1"/>
  <c r="E151" i="29"/>
  <c r="F74" i="29"/>
  <c r="F114" i="29" s="1"/>
  <c r="L367" i="29"/>
  <c r="K173" i="5"/>
  <c r="K6" i="4" s="1"/>
  <c r="K340" i="29"/>
  <c r="J16" i="4" s="1"/>
  <c r="F109" i="5"/>
  <c r="F4" i="4" s="1"/>
  <c r="J74" i="29"/>
  <c r="J114" i="29" s="1"/>
  <c r="G273" i="5"/>
  <c r="G274" i="5" s="1"/>
  <c r="G7" i="4" s="1"/>
  <c r="K274" i="5"/>
  <c r="K7" i="4" s="1"/>
  <c r="E274" i="5"/>
  <c r="E7" i="4" s="1"/>
  <c r="E173" i="5"/>
  <c r="E6" i="4" s="1"/>
  <c r="D36" i="108"/>
  <c r="F36" i="108"/>
  <c r="G26" i="108"/>
  <c r="K127" i="29"/>
  <c r="K129" i="29" s="1"/>
  <c r="D37" i="108"/>
  <c r="F37" i="108"/>
  <c r="K357" i="29"/>
  <c r="K15" i="4" s="1"/>
  <c r="F28" i="108"/>
  <c r="E28" i="108"/>
  <c r="D31" i="108"/>
  <c r="F31" i="108"/>
  <c r="G35" i="108"/>
  <c r="E35" i="108"/>
  <c r="E30" i="108"/>
  <c r="G30" i="108"/>
  <c r="G77" i="4"/>
  <c r="D4" i="4"/>
  <c r="G29" i="108"/>
  <c r="E29" i="108"/>
  <c r="K72" i="29"/>
  <c r="E33" i="108"/>
  <c r="G33" i="108"/>
  <c r="K285" i="29"/>
  <c r="C14" i="4"/>
  <c r="E39" i="108"/>
  <c r="G39" i="108"/>
  <c r="E38" i="108"/>
  <c r="G38" i="108"/>
  <c r="D27" i="108"/>
  <c r="F27" i="108"/>
  <c r="J77" i="4"/>
  <c r="G34" i="108"/>
  <c r="E34" i="108"/>
  <c r="F14" i="4"/>
  <c r="F62" i="34"/>
  <c r="G14" i="4"/>
  <c r="F72" i="34"/>
  <c r="D26" i="108"/>
  <c r="F26" i="108"/>
  <c r="K65" i="29"/>
  <c r="F77" i="4"/>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E21" i="108" l="1"/>
  <c r="E22" i="108"/>
  <c r="H17" i="4"/>
  <c r="H19" i="4" s="1"/>
  <c r="F57" i="34"/>
  <c r="H114" i="29"/>
  <c r="F15" i="4"/>
  <c r="F17" i="4" s="1"/>
  <c r="F19" i="4" s="1"/>
  <c r="K102" i="29"/>
  <c r="C15" i="4" s="1"/>
  <c r="K174" i="29"/>
  <c r="F10" i="34" s="1"/>
  <c r="E114" i="29"/>
  <c r="G19" i="108"/>
  <c r="E24" i="108"/>
  <c r="J275" i="5"/>
  <c r="E8" i="4"/>
  <c r="E10" i="4" s="1"/>
  <c r="E15" i="4"/>
  <c r="E17" i="4" s="1"/>
  <c r="E19" i="4" s="1"/>
  <c r="J8" i="4"/>
  <c r="J10" i="4" s="1"/>
  <c r="C12" i="4"/>
  <c r="K275" i="5"/>
  <c r="K210" i="29"/>
  <c r="F11" i="34" s="1"/>
  <c r="K312" i="29"/>
  <c r="I275" i="5"/>
  <c r="L114" i="29"/>
  <c r="F60" i="34"/>
  <c r="K342" i="29"/>
  <c r="F13" i="34" s="1"/>
  <c r="H8" i="4"/>
  <c r="H10" i="4" s="1"/>
  <c r="H275" i="5"/>
  <c r="F41" i="108"/>
  <c r="J17" i="4"/>
  <c r="J19" i="4" s="1"/>
  <c r="C275" i="5"/>
  <c r="E23" i="108"/>
  <c r="F6" i="4"/>
  <c r="F8" i="4" s="1"/>
  <c r="F10" i="4" s="1"/>
  <c r="F275" i="5"/>
  <c r="C4" i="4"/>
  <c r="C8" i="4" s="1"/>
  <c r="C10" i="4" s="1"/>
  <c r="G23" i="108"/>
  <c r="D8" i="4"/>
  <c r="D10" i="4" s="1"/>
  <c r="K74" i="29"/>
  <c r="C13" i="4" s="1"/>
  <c r="G8" i="4"/>
  <c r="G10" i="4" s="1"/>
  <c r="E275" i="5"/>
  <c r="K367" i="29"/>
  <c r="K8" i="4"/>
  <c r="K10" i="4" s="1"/>
  <c r="D275" i="5"/>
  <c r="G275" i="5"/>
  <c r="K279" i="29"/>
  <c r="G13" i="4" s="1"/>
  <c r="G12" i="4"/>
  <c r="I34" i="182"/>
  <c r="I10" i="4"/>
  <c r="I20" i="4"/>
  <c r="I78" i="4" s="1"/>
  <c r="I81" i="4" s="1"/>
  <c r="K151" i="29"/>
  <c r="F9" i="34" s="1"/>
  <c r="D13" i="4"/>
  <c r="D17" i="4" s="1"/>
  <c r="D19" i="4" s="1"/>
  <c r="G15" i="4"/>
  <c r="F73" i="34"/>
  <c r="K17" i="4"/>
  <c r="K19" i="4" s="1"/>
  <c r="J34" i="182"/>
  <c r="H34" i="182"/>
  <c r="K34" i="182" l="1"/>
  <c r="D81" i="36" s="1"/>
  <c r="K175" i="29"/>
  <c r="K313" i="29"/>
  <c r="K343" i="29"/>
  <c r="E20" i="4"/>
  <c r="E78" i="4" s="1"/>
  <c r="E81" i="4" s="1"/>
  <c r="C17" i="4"/>
  <c r="C20" i="4" s="1"/>
  <c r="C78" i="4" s="1"/>
  <c r="C81" i="4" s="1"/>
  <c r="K368" i="29"/>
  <c r="K211" i="29"/>
  <c r="J20" i="4"/>
  <c r="J78" i="4" s="1"/>
  <c r="J81" i="4" s="1"/>
  <c r="H20" i="4"/>
  <c r="H78" i="4" s="1"/>
  <c r="H81" i="4" s="1"/>
  <c r="F20" i="4"/>
  <c r="F78" i="4" s="1"/>
  <c r="F81" i="4" s="1"/>
  <c r="K114" i="29"/>
  <c r="K115" i="29" s="1"/>
  <c r="K295" i="29"/>
  <c r="G17" i="4"/>
  <c r="K20" i="4"/>
  <c r="K78" i="4" s="1"/>
  <c r="K81" i="4" s="1"/>
  <c r="D20" i="4"/>
  <c r="D78" i="4" s="1"/>
  <c r="D81" i="4" s="1"/>
  <c r="K152" i="29"/>
  <c r="D10" i="171"/>
  <c r="C19" i="4" l="1"/>
  <c r="G19" i="4"/>
  <c r="G20" i="4"/>
  <c r="G78" i="4" s="1"/>
  <c r="G81" i="4" s="1"/>
  <c r="F12" i="34"/>
  <c r="K296" i="29"/>
  <c r="B7796" i="106"/>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E26" i="181"/>
  <c r="F26" i="181" s="1"/>
  <c r="G26" i="181" s="1"/>
  <c r="E25" i="181"/>
  <c r="F25" i="181" s="1"/>
  <c r="G25" i="181" s="1"/>
  <c r="E24" i="181"/>
  <c r="F24" i="181" s="1"/>
  <c r="G24" i="181" s="1"/>
  <c r="E23" i="181"/>
  <c r="F23" i="181" s="1"/>
  <c r="G23" i="181" s="1"/>
  <c r="E22" i="181"/>
  <c r="F22" i="181" s="1"/>
  <c r="G22" i="181" s="1"/>
  <c r="E21" i="181"/>
  <c r="F21" i="181" s="1"/>
  <c r="G21" i="181" s="1"/>
  <c r="E20" i="181"/>
  <c r="F20" i="181" s="1"/>
  <c r="G20" i="181" s="1"/>
  <c r="E19" i="181"/>
  <c r="F19" i="181" s="1"/>
  <c r="G19" i="181" s="1"/>
  <c r="E18" i="181"/>
  <c r="F18" i="181" s="1"/>
  <c r="G18" i="181" s="1"/>
  <c r="D141" i="181" l="1"/>
  <c r="D80" i="36" l="1"/>
  <c r="B7797" i="106"/>
  <c r="E141" i="181"/>
  <c r="E17" i="181"/>
  <c r="E16" i="181"/>
  <c r="F16" i="181" s="1"/>
  <c r="G16" i="181" s="1"/>
  <c r="F17" i="181" l="1"/>
  <c r="G17" i="181" s="1"/>
  <c r="G141" i="181" s="1"/>
  <c r="G40" i="108" l="1"/>
  <c r="B7799" i="106"/>
  <c r="F141" i="181"/>
  <c r="B7798" i="106" s="1"/>
  <c r="E40" i="108"/>
  <c r="D17" i="171" l="1"/>
  <c r="D14" i="171" l="1"/>
  <c r="D12" i="171"/>
  <c r="A10" i="169"/>
  <c r="A15" i="169"/>
  <c r="A14" i="169"/>
  <c r="K18" i="169"/>
  <c r="G18" i="169"/>
  <c r="G15" i="169"/>
  <c r="I13" i="169"/>
  <c r="G11" i="169"/>
  <c r="G10" i="169"/>
  <c r="G9" i="169"/>
  <c r="G7" i="169"/>
  <c r="E7" i="169"/>
  <c r="B2" i="184"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4" l="1"/>
  <c r="B1" i="183"/>
  <c r="B2" i="177"/>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D7769" i="106" s="1"/>
  <c r="B7768" i="106"/>
  <c r="D7768" i="106" s="1"/>
  <c r="B7766" i="106"/>
  <c r="D7766" i="106" s="1"/>
  <c r="B7765" i="106"/>
  <c r="D7765" i="106" s="1"/>
  <c r="B7764" i="106"/>
  <c r="D7764" i="106" s="1"/>
  <c r="J85" i="28"/>
  <c r="B7758" i="106" s="1"/>
  <c r="D7758" i="106" s="1"/>
  <c r="J88" i="28"/>
  <c r="B7763" i="106"/>
  <c r="D7763" i="106" s="1"/>
  <c r="B7762" i="106"/>
  <c r="D7762" i="106" s="1"/>
  <c r="K12" i="12"/>
  <c r="J12" i="12"/>
  <c r="B7718" i="106" s="1"/>
  <c r="D7718" i="106" s="1"/>
  <c r="J21" i="12"/>
  <c r="J23" i="12" s="1"/>
  <c r="B7729" i="106"/>
  <c r="D7729" i="106" s="1"/>
  <c r="B7734" i="106"/>
  <c r="B7726" i="106"/>
  <c r="D7726" i="106" s="1"/>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D2845" i="106" s="1"/>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K6" i="11" s="1"/>
  <c r="B7604"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55" i="127"/>
  <c r="B56"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L5" i="11" s="1"/>
  <c r="B2056" i="106" s="1"/>
  <c r="D2056" i="106" s="1"/>
  <c r="C16" i="11"/>
  <c r="B2013" i="106" s="1"/>
  <c r="D2013" i="106" s="1"/>
  <c r="B7727" i="106"/>
  <c r="D7727" i="106" s="1"/>
  <c r="C49" i="8"/>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33" i="118"/>
  <c r="D22" i="37"/>
  <c r="D24" i="37"/>
  <c r="B4270" i="106" s="1"/>
  <c r="D4270"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F21" i="8" l="1"/>
  <c r="B1879" i="106" s="1"/>
  <c r="D1879" i="106" s="1"/>
  <c r="H28" i="118"/>
  <c r="L22" i="37"/>
  <c r="J22" i="37"/>
  <c r="H22" i="37"/>
  <c r="H29" i="118"/>
  <c r="K28" i="118" s="1"/>
  <c r="O27" i="118" s="1"/>
  <c r="O29" i="118" s="1"/>
  <c r="D68" i="36"/>
  <c r="D7245" i="106"/>
  <c r="B3689" i="106"/>
  <c r="D3689" i="106" s="1"/>
  <c r="I24" i="12"/>
  <c r="B1996" i="106" s="1"/>
  <c r="D1996" i="106" s="1"/>
  <c r="D11" i="37"/>
  <c r="D31" i="36"/>
  <c r="D7" i="7"/>
  <c r="B1763" i="106" s="1"/>
  <c r="D1763" i="106" s="1"/>
  <c r="B1995" i="106"/>
  <c r="D1995" i="106" s="1"/>
  <c r="K14" i="11"/>
  <c r="B7622" i="106" s="1"/>
  <c r="B7719" i="106"/>
  <c r="D7719" i="106" s="1"/>
  <c r="K14" i="12"/>
  <c r="F19" i="7"/>
  <c r="B1807" i="106" s="1"/>
  <c r="D1807" i="106" s="1"/>
  <c r="B7609" i="106"/>
  <c r="I9" i="11"/>
  <c r="B2029" i="106"/>
  <c r="D2029" i="106" s="1"/>
  <c r="M19" i="3"/>
  <c r="B276" i="106" s="1"/>
  <c r="D276" i="106" s="1"/>
  <c r="I12" i="11"/>
  <c r="B7591" i="106"/>
  <c r="M15" i="3"/>
  <c r="B2026" i="106"/>
  <c r="D2026" i="106" s="1"/>
  <c r="M16" i="3"/>
  <c r="B273" i="106" s="1"/>
  <c r="D273" i="106" s="1"/>
  <c r="D6103" i="106"/>
  <c r="B4173" i="106"/>
  <c r="D4173" i="106" s="1"/>
  <c r="D69" i="36"/>
  <c r="B2028" i="106"/>
  <c r="D2028" i="106" s="1"/>
  <c r="I10" i="11"/>
  <c r="M18" i="3"/>
  <c r="B275" i="106" s="1"/>
  <c r="D275" i="106" s="1"/>
  <c r="B7602" i="106"/>
  <c r="B3454" i="106"/>
  <c r="D3454" i="106" s="1"/>
  <c r="M20" i="3"/>
  <c r="B2864" i="106" s="1"/>
  <c r="D2864" i="106" s="1"/>
  <c r="B2027" i="106"/>
  <c r="D2027" i="106" s="1"/>
  <c r="M17" i="3"/>
  <c r="B274" i="106" s="1"/>
  <c r="D274" i="106" s="1"/>
  <c r="I8" i="11"/>
  <c r="B2030" i="106"/>
  <c r="D2030" i="106" s="1"/>
  <c r="I13" i="11"/>
  <c r="D15" i="7"/>
  <c r="B1772" i="106" s="1"/>
  <c r="D1772" i="106" s="1"/>
  <c r="D11" i="7"/>
  <c r="B1768" i="106" s="1"/>
  <c r="D1768" i="106" s="1"/>
  <c r="D9" i="7"/>
  <c r="B1767" i="106" s="1"/>
  <c r="D1767" i="106" s="1"/>
  <c r="D52" i="36"/>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B7230" i="106"/>
  <c r="D7230" i="106" s="1"/>
  <c r="B7215" i="106"/>
  <c r="D7215" i="106" s="1"/>
  <c r="B6226" i="106"/>
  <c r="D6226" i="106" s="1"/>
  <c r="B7202" i="106"/>
  <c r="D7202" i="106" s="1"/>
  <c r="B7219" i="106"/>
  <c r="D7219" i="106" s="1"/>
  <c r="B7503" i="106"/>
  <c r="B7531" i="106"/>
  <c r="B7214" i="106"/>
  <c r="D7214" i="106" s="1"/>
  <c r="B7221" i="106"/>
  <c r="D7221" i="106" s="1"/>
  <c r="B7201" i="106"/>
  <c r="D7201" i="106" s="1"/>
  <c r="B7218" i="106"/>
  <c r="D7218" i="106" s="1"/>
  <c r="B6917" i="106"/>
  <c r="D6917" i="106" s="1"/>
  <c r="B5501" i="106"/>
  <c r="D5501" i="106" s="1"/>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B2031" i="106" l="1"/>
  <c r="D2031" i="106" s="1"/>
  <c r="I26" i="12"/>
  <c r="B7741" i="106" s="1"/>
  <c r="D7741" i="106" s="1"/>
  <c r="D7255" i="106"/>
  <c r="D7251" i="106"/>
  <c r="D7252" i="106"/>
  <c r="D7256" i="106"/>
  <c r="D7253" i="106"/>
  <c r="D7250" i="106"/>
  <c r="D7254" i="106"/>
  <c r="K23" i="12"/>
  <c r="K24" i="12" s="1"/>
  <c r="B7733" i="106" s="1"/>
  <c r="D7733" i="106" s="1"/>
  <c r="B7721" i="106"/>
  <c r="D7721" i="106" s="1"/>
  <c r="I16" i="11"/>
  <c r="B2043" i="106" s="1"/>
  <c r="D2043" i="106" s="1"/>
  <c r="J40" i="8"/>
  <c r="J39" i="8"/>
  <c r="J38" i="8"/>
  <c r="J33" i="8"/>
  <c r="J48" i="8"/>
  <c r="J47" i="8"/>
  <c r="J46" i="8"/>
  <c r="J45" i="8"/>
  <c r="J44" i="8"/>
  <c r="J43" i="8"/>
  <c r="J42" i="8"/>
  <c r="J41" i="8"/>
  <c r="J37" i="8"/>
  <c r="J36" i="8"/>
  <c r="J35" i="8"/>
  <c r="J34" i="8"/>
  <c r="J32" i="8"/>
  <c r="J31" i="8"/>
  <c r="B2041" i="106"/>
  <c r="D2041" i="106" s="1"/>
  <c r="K12" i="11"/>
  <c r="B2042" i="106"/>
  <c r="D2042" i="106" s="1"/>
  <c r="K13" i="11"/>
  <c r="B6297" i="106"/>
  <c r="D6297" i="106" s="1"/>
  <c r="M23" i="3"/>
  <c r="B279" i="106" s="1"/>
  <c r="D279" i="106" s="1"/>
  <c r="M41" i="3"/>
  <c r="B280" i="106"/>
  <c r="D280" i="106" s="1"/>
  <c r="B2040" i="106"/>
  <c r="D2040" i="106" s="1"/>
  <c r="K10" i="11"/>
  <c r="B2039" i="106"/>
  <c r="D2039" i="106" s="1"/>
  <c r="K8" i="11"/>
  <c r="B7611" i="106"/>
  <c r="K9" i="11"/>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K16" i="11" l="1"/>
  <c r="K26" i="12"/>
  <c r="B7743" i="106" s="1"/>
  <c r="D7743" i="106" s="1"/>
  <c r="J49" i="8"/>
  <c r="B4172" i="106" s="1"/>
  <c r="D4172" i="106" s="1"/>
  <c r="B2052" i="106"/>
  <c r="D2052" i="106" s="1"/>
  <c r="L10" i="11"/>
  <c r="B2058" i="106" s="1"/>
  <c r="D2058" i="106" s="1"/>
  <c r="B2053" i="106"/>
  <c r="D2053" i="106" s="1"/>
  <c r="L12" i="11"/>
  <c r="B2059" i="106" s="1"/>
  <c r="D2059" i="106" s="1"/>
  <c r="B7613" i="106"/>
  <c r="L9" i="11"/>
  <c r="B7614" i="106" s="1"/>
  <c r="B2051" i="106"/>
  <c r="D2051" i="106" s="1"/>
  <c r="L8" i="11"/>
  <c r="B2057" i="106" s="1"/>
  <c r="D2057" i="106" s="1"/>
  <c r="B2054" i="106"/>
  <c r="D2054" i="106" s="1"/>
  <c r="L13" i="11"/>
  <c r="B2060" i="106" s="1"/>
  <c r="D2060" i="106" s="1"/>
  <c r="B281" i="106"/>
  <c r="D281" i="106" s="1"/>
  <c r="D54" i="36"/>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N22" i="3"/>
  <c r="B283" i="106" s="1"/>
  <c r="D283" i="106" s="1"/>
  <c r="L41" i="3"/>
  <c r="D53" i="3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N23" i="3" l="1"/>
  <c r="B284" i="106" s="1"/>
  <c r="D284" i="106" s="1"/>
  <c r="B2917" i="106"/>
  <c r="D2917" i="106" s="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D55" i="36"/>
  <c r="B3588" i="106"/>
  <c r="D3588" i="106" s="1"/>
  <c r="B2601" i="106"/>
  <c r="D2601" i="106" s="1"/>
  <c r="B3320" i="106"/>
  <c r="D3320" i="106" s="1"/>
  <c r="K17" i="118"/>
  <c r="B3300" i="106"/>
  <c r="D3300" i="106" s="1"/>
  <c r="B7631" i="106"/>
  <c r="F180" i="34"/>
  <c r="A7262" i="106"/>
  <c r="D7261" i="106"/>
  <c r="H16" i="37"/>
  <c r="B2613" i="106"/>
  <c r="D2613" i="106" s="1"/>
  <c r="B2562" i="106"/>
  <c r="D2562" i="106" s="1"/>
  <c r="B10" i="146"/>
  <c r="F9" i="146"/>
  <c r="F10" i="146" s="1"/>
  <c r="B2636" i="106"/>
  <c r="D2636" i="106" s="1"/>
  <c r="D64" i="36"/>
  <c r="J82" i="4"/>
  <c r="B6266" i="106"/>
  <c r="D6266" i="106" s="1"/>
  <c r="B3239" i="106"/>
  <c r="D3239" i="106" s="1"/>
  <c r="F181" i="34" l="1"/>
  <c r="F183" i="34" s="1"/>
  <c r="B3278" i="106"/>
  <c r="D3278" i="106" s="1"/>
  <c r="B3233" i="106"/>
  <c r="D3233" i="106" s="1"/>
  <c r="A7263" i="106"/>
  <c r="D7262" i="106"/>
  <c r="B1700" i="106"/>
  <c r="D1700" i="106" s="1"/>
  <c r="H82" i="4"/>
  <c r="D62" i="36"/>
  <c r="O16"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<sst xmlns="http://schemas.openxmlformats.org/spreadsheetml/2006/main" count="5340" uniqueCount="2286">
  <si>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</si>
  <si>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</si>
  <si>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</si>
  <si>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</si>
  <si>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</si>
  <si>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</si>
  <si>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</si>
  <si>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</si>
  <si>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</si>
  <si>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</si>
  <si>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</si>
  <si>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</si>
  <si>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</si>
  <si>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</si>
  <si>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</si>
  <si>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</si>
  <si>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</si>
  <si>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</si>
  <si>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</si>
  <si>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</si>
  <si>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</si>
  <si>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</si>
  <si>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</si>
  <si>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</si>
  <si>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</si>
  <si>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</si>
  <si>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</si>
  <si>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</si>
  <si>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</si>
  <si>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</si>
  <si>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</si>
  <si>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</si>
  <si>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</si>
  <si>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</si>
  <si>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</si>
  <si>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</si>
  <si>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</si>
  <si>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</si>
  <si>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</si>
  <si>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</si>
  <si>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</si>
  <si>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</si>
  <si>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</si>
  <si>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</si>
  <si>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</si>
  <si>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</si>
  <si>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</si>
  <si>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</si>
  <si>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</si>
  <si>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</si>
  <si>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</si>
  <si>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</si>
  <si>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</si>
  <si>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</si>
  <si>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</si>
  <si>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</si>
  <si>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</si>
  <si>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</si>
  <si>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</si>
  <si>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</si>
  <si>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</si>
  <si>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</si>
  <si>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</si>
  <si>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</si>
  <si>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</si>
  <si>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</si>
  <si>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</si>
  <si>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</si>
  <si>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</si>
  <si>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</si>
  <si>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</si>
  <si>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</si>
  <si>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</si>
  <si>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</si>
  <si>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</si>
  <si>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</si>
  <si>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</si>
  <si>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</si>
  <si>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</si>
  <si>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</si>
  <si>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</si>
  <si>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</si>
  <si>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</si>
  <si>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</si>
  <si>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</si>
  <si>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</si>
  <si>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</si>
  <si>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</si>
  <si>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</si>
  <si>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</si>
  <si>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</si>
  <si>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</si>
  <si>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</si>
  <si>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</si>
  <si>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</si>
  <si>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</si>
  <si>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</si>
  <si>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</si>
  <si>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</si>
  <si>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</si>
  <si>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</si>
  <si>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</si>
  <si>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</si>
  <si>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</si>
  <si>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</si>
  <si>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</si>
  <si>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</si>
  <si>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</si>
  <si>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</si>
  <si>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</si>
  <si>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</si>
  <si>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</si>
  <si>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</si>
  <si>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</si>
  <si>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</si>
  <si>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</si>
  <si>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</si>
  <si>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</si>
  <si>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</si>
  <si>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</si>
  <si>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</si>
  <si>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</si>
  <si>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</si>
  <si>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</si>
  <si>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</si>
  <si>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</si>
  <si>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</si>
  <si>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</si>
  <si>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</si>
  <si>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</si>
  <si>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</si>
  <si>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</si>
  <si>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</si>
  <si>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</si>
  <si>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</si>
  <si>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</si>
  <si>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</si>
  <si>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</si>
  <si>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</si>
  <si>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</si>
  <si>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</si>
  <si>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</si>
  <si>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</si>
  <si>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</si>
  <si>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</si>
  <si>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</si>
  <si>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</si>
  <si>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</si>
  <si>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</si>
  <si>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</si>
  <si>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</si>
  <si>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</si>
  <si>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</si>
  <si>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</si>
  <si>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</si>
  <si>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</si>
  <si>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</si>
  <si>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</si>
  <si>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</si>
  <si>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</si>
  <si>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</si>
  <si>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</si>
  <si>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</si>
  <si>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</si>
  <si>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</si>
  <si>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</si>
  <si>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</si>
  <si>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</si>
  <si>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</si>
  <si>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</si>
  <si>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</si>
  <si>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</si>
  <si>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</si>
  <si>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</si>
  <si>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</si>
  <si>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</si>
  <si>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</si>
  <si>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</si>
  <si>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</si>
  <si>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</si>
  <si>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</si>
  <si>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</si>
  <si>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</si>
  <si>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</si>
  <si>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</si>
  <si>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</si>
  <si>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</si>
  <si>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</si>
  <si>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</si>
  <si>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</si>
  <si>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</si>
  <si>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</si>
  <si>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</si>
  <si>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</si>
  <si>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</si>
  <si>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</si>
  <si>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</si>
  <si>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</si>
  <si>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</si>
  <si>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</si>
  <si>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</si>
  <si>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</si>
  <si>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</si>
  <si>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</si>
  <si>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</si>
  <si>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</si>
  <si>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</si>
  <si>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</si>
  <si>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</si>
  <si>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</si>
  <si>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</si>
  <si>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</si>
  <si>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</si>
  <si>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</si>
  <si>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</si>
  <si>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</si>
  <si>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</si>
  <si>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</si>
  <si>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</si>
  <si>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</si>
  <si>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</si>
  <si>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</si>
  <si>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</si>
  <si>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</si>
  <si>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</si>
  <si>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</si>
  <si>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</si>
  <si>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</si>
  <si>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</si>
  <si>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</si>
  <si>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</si>
  <si>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</si>
  <si>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</si>
  <si>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</si>
  <si>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</si>
  <si>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</si>
  <si>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</si>
  <si>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</si>
  <si>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</si>
  <si>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</si>
  <si>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</si>
  <si>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</si>
  <si>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</si>
  <si>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</si>
  <si>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</si>
  <si>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</si>
  <si>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</si>
  <si>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</si>
  <si>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</si>
  <si>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</si>
  <si>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</si>
  <si>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</si>
  <si>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</si>
  <si>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</si>
  <si>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</si>
  <si>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</si>
  <si>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</si>
  <si>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</si>
  <si>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</si>
  <si>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</si>
  <si>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</si>
  <si>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</si>
  <si>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</si>
  <si>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</si>
  <si>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</si>
  <si>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</si>
  <si>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</si>
  <si>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</si>
  <si>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</si>
  <si>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</si>
  <si>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</si>
  <si>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</si>
  <si>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</si>
  <si>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</si>
  <si>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</si>
  <si>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</si>
  <si>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</si>
  <si>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</si>
  <si>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</si>
  <si>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</si>
  <si>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</si>
  <si>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</si>
  <si>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</si>
  <si>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</si>
  <si>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</si>
  <si>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</si>
  <si>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</si>
  <si>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</si>
  <si>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</si>
  <si>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</si>
  <si>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</si>
  <si>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</si>
  <si>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</si>
  <si>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</si>
  <si>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</si>
  <si>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</si>
  <si>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</si>
  <si>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</si>
  <si>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</si>
  <si>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</si>
  <si>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</si>
  <si>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</si>
  <si>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</si>
  <si>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</si>
  <si>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</si>
  <si>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</si>
  <si>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</si>
  <si>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</si>
  <si>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</si>
  <si>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</si>
  <si>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</si>
  <si>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</si>
  <si>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</si>
  <si>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</si>
  <si>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</si>
  <si>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</si>
  <si>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</si>
  <si>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</si>
  <si>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</si>
  <si>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</si>
  <si>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</si>
  <si>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</si>
  <si>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</si>
  <si>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</si>
  <si>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</si>
  <si>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</si>
  <si>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</si>
  <si>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</si>
  <si>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</si>
  <si>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</si>
  <si>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</si>
  <si>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</si>
  <si>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</si>
  <si>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</si>
  <si>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</si>
  <si>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</si>
  <si>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</si>
  <si>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</si>
  <si>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</si>
  <si>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</si>
  <si>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</si>
  <si>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</si>
  <si>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</si>
  <si>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</si>
  <si>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</si>
  <si>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</si>
  <si>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</si>
  <si>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</si>
  <si>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</si>
  <si>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</si>
  <si>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</si>
  <si>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</si>
  <si>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</si>
  <si>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</si>
  <si>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</si>
  <si>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</si>
  <si>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</si>
  <si>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</si>
  <si>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</si>
  <si>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</si>
  <si>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</si>
  <si>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</si>
  <si>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</si>
  <si>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</si>
  <si>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</si>
  <si>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</si>
  <si>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</si>
  <si>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</si>
  <si>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</si>
  <si>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</si>
  <si>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</si>
  <si>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</si>
  <si>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</si>
  <si>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</si>
  <si>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</si>
  <si>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</si>
  <si>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</si>
  <si>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</si>
  <si>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</si>
  <si>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</si>
  <si>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</si>
  <si>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</si>
  <si>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</si>
  <si>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</si>
  <si>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</si>
  <si>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</si>
  <si>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</si>
  <si>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</si>
  <si>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</si>
  <si>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</si>
  <si>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</si>
  <si>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</si>
  <si>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</si>
  <si>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</si>
  <si>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</si>
  <si>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</si>
  <si>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</si>
  <si>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</si>
  <si>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</si>
  <si>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</si>
  <si>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</si>
  <si>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</si>
  <si>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</si>
  <si>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</si>
  <si>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</si>
  <si>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</si>
  <si>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</si>
  <si>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</si>
  <si>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</si>
  <si>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</si>
  <si>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</si>
  <si>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</si>
  <si>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</si>
  <si>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</si>
  <si>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</si>
  <si>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</si>
  <si>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</si>
  <si>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</si>
  <si>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</si>
  <si>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</si>
  <si>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</si>
  <si>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</si>
  <si>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</si>
  <si>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</si>
  <si>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</si>
  <si>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</si>
  <si>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</si>
  <si>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</si>
  <si>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</si>
  <si>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</si>
  <si>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</si>
  <si>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</si>
  <si>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</si>
  <si>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</si>
  <si>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</si>
  <si>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</si>
  <si>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</si>
  <si>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</si>
  <si>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</si>
  <si>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</si>
  <si>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</si>
  <si>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</si>
  <si>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</si>
  <si>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</si>
  <si>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</si>
  <si>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</si>
  <si>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</si>
  <si>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</si>
  <si>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</si>
  <si>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</si>
  <si>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</si>
  <si>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</si>
  <si>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</si>
  <si>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</si>
  <si>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</si>
  <si>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</si>
  <si>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</si>
  <si>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</si>
  <si>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</si>
  <si>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</si>
  <si>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</si>
  <si>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</si>
  <si>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</si>
  <si>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</si>
  <si>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</si>
  <si>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</si>
  <si>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</si>
  <si>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</si>
  <si>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</si>
  <si>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</si>
  <si>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</si>
  <si>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</si>
  <si>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</si>
  <si>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</si>
  <si>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</si>
  <si>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</si>
  <si>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</si>
  <si>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</si>
  <si>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</si>
  <si>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</si>
  <si>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</si>
  <si>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</si>
  <si>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</si>
  <si>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</si>
  <si>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</si>
  <si>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</si>
  <si>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</si>
  <si>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</si>
  <si>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</si>
  <si>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</si>
  <si>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</si>
  <si>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</si>
  <si>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</si>
  <si>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</si>
  <si>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</si>
  <si>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</si>
  <si>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</si>
  <si>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</si>
  <si>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</si>
  <si>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</si>
  <si>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</si>
  <si>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</si>
  <si>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</si>
  <si>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</si>
  <si>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</si>
  <si>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</si>
  <si>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</si>
  <si>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</si>
  <si>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</si>
  <si>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</si>
  <si>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</si>
  <si>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</si>
  <si>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</si>
  <si>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</si>
  <si>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</si>
  <si>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</si>
  <si>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</si>
  <si>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</si>
  <si>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</si>
  <si>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</si>
  <si>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</si>
  <si>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</si>
  <si>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</si>
  <si>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</si>
  <si>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</si>
  <si>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</si>
  <si>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</si>
  <si>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</si>
  <si>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</si>
  <si>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</si>
  <si>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</si>
  <si>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</si>
  <si>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</si>
  <si>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</si>
  <si>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</si>
  <si>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</si>
  <si>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</si>
  <si>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</si>
  <si>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</si>
  <si>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</si>
  <si>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</si>
  <si>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</si>
  <si>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</si>
  <si>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</si>
  <si>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</si>
  <si>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</si>
  <si>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</si>
  <si>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</si>
  <si>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</si>
  <si>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</si>
  <si>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</si>
  <si>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</si>
  <si>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</si>
  <si>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</si>
  <si>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</si>
  <si>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</si>
  <si>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</si>
  <si>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</si>
  <si>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</si>
  <si>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</si>
  <si>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</si>
  <si>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</si>
  <si>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</si>
  <si>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</si>
  <si>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</si>
  <si>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</si>
  <si>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</si>
  <si>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</si>
  <si>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</si>
  <si>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</si>
  <si>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</si>
  <si>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</si>
  <si>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</si>
  <si>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</si>
  <si>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</si>
  <si>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</si>
  <si>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</si>
  <si>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</si>
  <si>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</si>
  <si>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</si>
  <si>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</si>
  <si>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</si>
  <si>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</si>
  <si>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</si>
  <si>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</si>
  <si>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</si>
  <si>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</si>
  <si>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</si>
  <si>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</si>
  <si>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</si>
  <si>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</si>
  <si>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</si>
  <si>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</si>
  <si>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</si>
  <si>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</si>
  <si>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</si>
  <si>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</si>
  <si>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</si>
  <si>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</si>
  <si>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</si>
  <si>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</si>
  <si>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</si>
  <si>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</si>
  <si>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</si>
  <si>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</si>
  <si>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</si>
  <si>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</si>
  <si>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</si>
  <si>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</si>
  <si>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</si>
  <si>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</si>
  <si>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</si>
  <si>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</si>
  <si>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</si>
  <si>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</si>
  <si>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</si>
  <si>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</si>
  <si>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</si>
  <si>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</si>
  <si>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</si>
  <si>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</si>
  <si>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</si>
  <si>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</si>
  <si>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</si>
  <si>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</si>
  <si>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</si>
  <si>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</si>
  <si>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</si>
  <si>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</si>
  <si>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</si>
  <si>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</si>
  <si>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</si>
  <si>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</si>
  <si>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</si>
  <si>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</si>
  <si>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</si>
  <si>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</si>
  <si>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</si>
  <si>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</si>
  <si>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</si>
  <si>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</si>
  <si>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</si>
  <si>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</si>
  <si>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</si>
  <si>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</si>
  <si>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</si>
  <si>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</si>
  <si>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</si>
  <si>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</si>
  <si>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</si>
  <si>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</si>
  <si>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</si>
  <si>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</si>
  <si>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</si>
  <si>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</si>
  <si>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</si>
  <si>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</si>
  <si>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</si>
  <si>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</si>
  <si>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</si>
  <si>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</si>
  <si>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</si>
  <si>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</si>
  <si>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</si>
  <si>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</si>
  <si>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</si>
  <si>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</si>
  <si>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</si>
  <si>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</si>
  <si>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</si>
  <si>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</si>
  <si>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</si>
  <si>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</si>
  <si>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</si>
  <si>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</si>
  <si>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</si>
  <si>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</si>
  <si>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</si>
  <si>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</si>
  <si>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</si>
  <si>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</si>
  <si>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</si>
  <si>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</si>
  <si>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</si>
  <si>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</si>
  <si>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</si>
  <si>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</si>
  <si>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</si>
  <si>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</si>
  <si>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</si>
  <si>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</si>
  <si>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</si>
  <si>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</si>
  <si>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</si>
  <si>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</si>
  <si>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</si>
  <si>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</si>
  <si>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</si>
  <si>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</si>
  <si>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</si>
  <si>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</si>
  <si>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</si>
  <si>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</si>
  <si>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</si>
  <si>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</si>
  <si>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</si>
  <si>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</si>
  <si>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</si>
  <si>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</si>
  <si>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</si>
  <si>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</si>
  <si>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</si>
  <si>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</si>
  <si>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</si>
  <si>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</si>
  <si>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</si>
  <si>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</si>
  <si>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</si>
  <si>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</si>
  <si>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</si>
  <si>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</si>
  <si>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</si>
  <si>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</si>
  <si>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</si>
  <si>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</si>
  <si>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</si>
  <si>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</si>
  <si>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</si>
  <si>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</si>
  <si>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</si>
  <si>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</si>
  <si>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</si>
  <si>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</si>
  <si>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</si>
  <si>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</si>
  <si>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</si>
  <si>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</si>
  <si>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</si>
  <si>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</si>
  <si>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</si>
  <si>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</si>
  <si>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</si>
  <si>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</si>
  <si>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</si>
  <si>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</si>
  <si>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</si>
  <si>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</si>
  <si>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</si>
  <si>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</si>
  <si>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</si>
  <si>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</si>
  <si>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</si>
  <si>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</si>
  <si>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</si>
  <si>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</si>
  <si>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</si>
  <si>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</si>
  <si>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</si>
  <si>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</si>
  <si>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</si>
  <si>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</si>
  <si>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</si>
  <si>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</si>
  <si>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</si>
  <si>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</si>
  <si>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</si>
  <si>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</si>
  <si>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</si>
  <si>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</si>
  <si>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</si>
  <si>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</si>
  <si>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</si>
  <si>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</si>
  <si>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</si>
  <si>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</si>
  <si>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</si>
  <si>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</si>
  <si>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</si>
  <si>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</si>
  <si>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</si>
  <si>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</si>
  <si>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</si>
  <si>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</si>
  <si>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</si>
  <si>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</si>
  <si>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</si>
  <si>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</si>
  <si>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</si>
  <si>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</si>
  <si>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</si>
  <si>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</si>
  <si>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</si>
  <si>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</si>
  <si>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</si>
  <si>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</si>
  <si>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</si>
  <si>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</si>
  <si>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</si>
  <si>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</si>
  <si>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</si>
  <si>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</si>
  <si>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</si>
  <si>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</si>
  <si>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</si>
  <si>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</si>
  <si>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</si>
  <si>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</si>
  <si>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</si>
  <si>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</si>
  <si>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</si>
  <si>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</si>
  <si>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</si>
  <si>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</si>
  <si>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</si>
  <si>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</si>
  <si>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</si>
  <si>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</si>
  <si>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</si>
  <si>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</si>
  <si>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</si>
  <si>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</si>
  <si>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</si>
  <si>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</si>
  <si>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</si>
  <si>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</si>
  <si>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</si>
  <si>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</si>
  <si>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</si>
  <si>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</si>
  <si>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</si>
  <si>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</si>
  <si>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</si>
  <si>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</si>
  <si>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</si>
  <si>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</si>
  <si>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</si>
  <si>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</si>
  <si>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</si>
  <si>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</si>
  <si>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</si>
  <si>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</si>
  <si>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</si>
  <si>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</si>
  <si>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</si>
  <si>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</si>
  <si>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</si>
  <si>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</si>
  <si>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</si>
  <si>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</si>
  <si>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</si>
  <si>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</si>
  <si>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</si>
  <si>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</si>
  <si>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</si>
  <si>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</si>
  <si>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</si>
  <si>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</si>
  <si>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</si>
  <si>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</si>
  <si>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</si>
  <si>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</si>
  <si>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</si>
  <si>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</si>
  <si>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</si>
  <si>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</si>
  <si>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</si>
  <si>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</si>
  <si>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</si>
  <si>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</si>
  <si>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</si>
  <si>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</si>
  <si>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</si>
  <si>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</si>
  <si>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</si>
  <si>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</si>
  <si>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</si>
  <si>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</si>
  <si>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</si>
  <si>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</si>
  <si>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</si>
  <si>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</si>
  <si>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</si>
  <si>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</si>
  <si>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</si>
  <si>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</si>
  <si>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</si>
  <si>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</si>
  <si>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</si>
  <si>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</si>
  <si>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</si>
  <si>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</si>
  <si>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</si>
  <si>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</si>
  <si>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</si>
  <si>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</si>
  <si>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</si>
  <si>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</si>
  <si>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</si>
  <si>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</si>
  <si>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</si>
  <si>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</si>
  <si>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</si>
  <si>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</si>
  <si>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</si>
  <si>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</si>
  <si>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</si>
  <si>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</si>
  <si>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</si>
  <si>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</si>
  <si>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</si>
  <si>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</si>
  <si>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</si>
  <si>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</si>
  <si>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</si>
  <si>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</si>
  <si>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</si>
  <si>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</si>
  <si>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</si>
  <si>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</si>
  <si>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</si>
  <si>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</si>
  <si>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</si>
  <si>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</si>
  <si>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</si>
  <si>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</si>
  <si>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</si>
  <si>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</si>
  <si>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</si>
  <si>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</si>
  <si>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</si>
  <si>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</si>
  <si>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</si>
  <si>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</si>
  <si>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</si>
  <si>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</si>
  <si>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</si>
  <si>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</si>
  <si>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</si>
  <si>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</si>
  <si>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</si>
  <si>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</si>
  <si>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</si>
  <si>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</si>
  <si>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</si>
  <si>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</si>
  <si>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</si>
  <si>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</si>
  <si>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</si>
  <si>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</si>
  <si>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</si>
  <si>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</si>
  <si>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</si>
  <si>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</si>
  <si>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</si>
  <si>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</si>
  <si>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</si>
  <si>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</si>
  <si>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</si>
  <si>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</si>
  <si>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</si>
  <si>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</si>
  <si>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</si>
  <si>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</si>
  <si>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</si>
  <si>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</si>
  <si>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</si>
  <si>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</si>
  <si>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</si>
  <si>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</si>
  <si>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</si>
  <si>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</si>
  <si>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</si>
  <si>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</si>
  <si>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</si>
  <si>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</si>
  <si>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</si>
  <si>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</si>
  <si>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</si>
  <si>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</si>
  <si>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</si>
  <si>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</si>
  <si>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</si>
  <si>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</si>
  <si>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</si>
  <si>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</si>
  <si>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</si>
  <si>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</si>
  <si>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</si>
  <si>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</si>
  <si>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</si>
  <si>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</si>
  <si>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</si>
  <si>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</si>
  <si>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</si>
  <si>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</si>
  <si>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</si>
  <si>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</si>
  <si>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</si>
  <si>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</si>
  <si>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</si>
  <si>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</si>
  <si>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</si>
  <si>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</si>
  <si>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</si>
  <si>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</si>
  <si>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</si>
  <si>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</si>
  <si>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</si>
  <si>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</si>
  <si>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</si>
  <si>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</si>
  <si>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</si>
  <si>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</si>
  <si>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</si>
  <si>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</si>
  <si>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</si>
  <si>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</si>
  <si>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</si>
  <si>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</si>
  <si>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</si>
  <si>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</si>
  <si>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</si>
  <si>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</si>
  <si>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</si>
  <si>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</si>
  <si>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</si>
  <si>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</si>
  <si>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</si>
  <si>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</si>
  <si>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</si>
  <si>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</si>
  <si>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</si>
  <si>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</si>
  <si>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</si>
  <si>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</si>
  <si>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</si>
  <si>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</si>
  <si>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</si>
  <si>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</si>
  <si>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</si>
  <si>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</si>
  <si>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</si>
  <si>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</si>
  <si>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</si>
  <si>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</si>
  <si>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</si>
  <si>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</si>
  <si>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</si>
  <si>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</si>
  <si>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</si>
  <si>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</si>
  <si>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</si>
  <si>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</si>
  <si>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</si>
  <si>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</si>
  <si>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</si>
  <si>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</si>
  <si>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</si>
  <si>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</si>
  <si>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</si>
  <si>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</si>
  <si>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</si>
  <si>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</si>
  <si>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</si>
  <si>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</si>
  <si>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</si>
  <si>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</si>
  <si>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</si>
  <si>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</si>
  <si>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</si>
  <si>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</si>
  <si>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</si>
  <si>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</si>
  <si>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</si>
  <si>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</si>
  <si>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</si>
  <si>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</si>
  <si>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</si>
  <si>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</si>
  <si>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</si>
  <si>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</si>
  <si>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</si>
  <si>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</si>
  <si>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</si>
  <si>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</si>
  <si>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</si>
  <si>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</si>
  <si>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</si>
  <si>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</si>
  <si>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</si>
  <si>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</si>
  <si>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</si>
  <si>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</si>
  <si>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</si>
  <si>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</si>
  <si>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</si>
  <si>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</si>
  <si>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</si>
  <si>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</si>
  <si>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</si>
  <si>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</si>
  <si>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</si>
  <si>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</si>
  <si>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</si>
  <si>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</si>
  <si>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</si>
  <si>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</si>
  <si>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</si>
  <si>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</si>
  <si>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</si>
  <si>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</si>
  <si>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</si>
  <si>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</si>
  <si>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</si>
  <si>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</si>
  <si>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</si>
  <si>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</si>
  <si>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</si>
  <si>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</si>
  <si>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</si>
  <si>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</si>
  <si>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</si>
  <si>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</si>
  <si>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</si>
  <si>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</si>
  <si>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</si>
  <si>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</si>
  <si>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</si>
  <si>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</si>
  <si>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</si>
  <si>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</si>
  <si>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</si>
  <si>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</si>
  <si>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</si>
  <si>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</si>
  <si>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</si>
  <si>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</si>
  <si>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</si>
  <si>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</si>
  <si>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</si>
  <si>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</si>
  <si>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</si>
  <si>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</si>
  <si>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</si>
  <si>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</si>
  <si>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</si>
  <si>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</si>
  <si>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</si>
  <si>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</si>
  <si>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</si>
  <si>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</si>
  <si>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</si>
  <si>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</si>
  <si>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</si>
  <si>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</si>
  <si>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</si>
  <si>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</si>
  <si>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</si>
  <si>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</si>
  <si>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</si>
  <si>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</si>
  <si>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</si>
  <si>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</si>
  <si>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</si>
  <si>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</si>
  <si>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</si>
  <si>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</si>
  <si>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</si>
  <si>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</si>
  <si>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</si>
  <si>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</si>
  <si>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</si>
  <si>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</si>
  <si>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</si>
  <si>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</si>
  <si>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</si>
  <si>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</si>
  <si>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</si>
  <si>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</si>
  <si>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</si>
  <si>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</si>
  <si>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</si>
  <si>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</si>
  <si>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</si>
  <si>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</si>
  <si>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</si>
  <si>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</si>
  <si>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</si>
  <si>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</si>
  <si>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</si>
  <si>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</si>
  <si>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</si>
  <si>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</si>
  <si>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</si>
  <si>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</si>
  <si>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</si>
  <si>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</si>
  <si>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</si>
  <si>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</si>
  <si>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</si>
  <si>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</si>
  <si>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</si>
  <si>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</si>
  <si>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</si>
  <si>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</si>
  <si>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</si>
  <si>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</si>
  <si>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</si>
  <si>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</si>
  <si>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</si>
  <si>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</si>
  <si>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</si>
  <si>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</si>
  <si>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</si>
  <si>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</si>
  <si>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</si>
  <si>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</si>
  <si>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</si>
  <si>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</si>
  <si>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</si>
  <si>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</si>
  <si>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</si>
  <si>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</si>
  <si>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</si>
  <si>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</si>
  <si>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</si>
  <si>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</si>
  <si>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</si>
  <si>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</si>
  <si>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</si>
  <si>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</si>
  <si>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</si>
  <si>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</si>
  <si>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</si>
  <si>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</si>
  <si>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</si>
  <si>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</si>
  <si>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</si>
  <si>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</si>
  <si>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</si>
  <si>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</si>
  <si>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</si>
  <si>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</si>
  <si>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</si>
  <si>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</si>
  <si>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</si>
  <si>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</si>
  <si>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</si>
  <si>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</si>
  <si>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</si>
  <si>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</si>
  <si>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</si>
  <si>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</si>
  <si>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</si>
  <si>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</si>
  <si>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</si>
  <si>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</si>
  <si>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</si>
  <si>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</si>
  <si>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</si>
  <si>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</si>
  <si>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</si>
  <si>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</si>
  <si>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</si>
  <si>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</si>
  <si>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</si>
  <si>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</si>
  <si>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</si>
  <si>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</si>
  <si>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</si>
  <si>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</si>
  <si>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</si>
  <si>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</si>
  <si>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</si>
  <si>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</si>
  <si>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</si>
  <si>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</si>
  <si>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</si>
  <si>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</si>
  <si>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</si>
  <si>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</si>
  <si>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</si>
  <si>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</si>
  <si>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</si>
  <si>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</si>
  <si>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</si>
  <si>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</si>
  <si>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</si>
  <si>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</si>
  <si>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</si>
  <si>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</si>
  <si>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</si>
  <si>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</si>
  <si>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</si>
  <si>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</si>
  <si>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</si>
  <si>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</si>
  <si>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</si>
  <si>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</si>
  <si>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</si>
  <si>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</si>
  <si>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</si>
  <si>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</si>
  <si>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</si>
  <si>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</si>
  <si>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</si>
  <si>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</si>
  <si>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</si>
  <si>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</si>
  <si>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</si>
  <si>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</si>
  <si>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</si>
  <si>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</si>
  <si>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</si>
  <si>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</si>
  <si>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</si>
  <si>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</si>
  <si>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</si>
  <si>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</si>
  <si>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</si>
  <si>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</si>
  <si>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</si>
  <si>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</si>
  <si>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</si>
  <si>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</si>
  <si>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</si>
  <si>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</si>
  <si>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</si>
  <si>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</si>
  <si>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</si>
  <si>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</si>
  <si>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</si>
  <si>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</si>
  <si>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</si>
  <si>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</si>
  <si>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</si>
  <si>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</si>
  <si>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</si>
  <si>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</si>
  <si>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</si>
  <si>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</si>
  <si>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</si>
  <si>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</si>
  <si>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</si>
  <si>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</si>
  <si>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</si>
  <si>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</si>
  <si>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</si>
  <si>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</si>
  <si>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</si>
  <si>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</si>
  <si>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</si>
  <si>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</si>
  <si>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</si>
  <si>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</si>
  <si>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</si>
  <si>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</si>
  <si>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</si>
  <si>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</si>
  <si>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</si>
  <si>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</si>
  <si>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</si>
  <si>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</si>
  <si>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</si>
  <si>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</si>
  <si>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</si>
  <si>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</si>
  <si>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</si>
  <si>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</si>
  <si>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</si>
  <si>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</si>
  <si>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</si>
  <si>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</si>
  <si>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</si>
  <si>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</si>
  <si>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</si>
  <si>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</si>
  <si>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</si>
  <si>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</si>
  <si>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</si>
  <si>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</si>
  <si>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</si>
  <si>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</si>
  <si>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</si>
  <si>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</si>
  <si>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</si>
  <si>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</si>
  <si>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</si>
  <si>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</si>
  <si>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</si>
  <si>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</si>
  <si>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</si>
  <si>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</si>
  <si>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</si>
  <si>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</si>
  <si>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</si>
  <si>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</si>
  <si>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</si>
  <si>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</si>
  <si>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</si>
  <si>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</si>
  <si>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</si>
  <si>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</si>
  <si>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</si>
  <si>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</si>
  <si>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</si>
  <si>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</si>
  <si>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</si>
  <si>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</si>
  <si>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</si>
  <si>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</si>
  <si>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</si>
  <si>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</si>
  <si>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</si>
  <si>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</si>
  <si>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</si>
  <si>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</si>
  <si>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</si>
  <si>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</si>
  <si>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</si>
  <si>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</si>
  <si>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</si>
  <si>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</si>
  <si>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</si>
  <si>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</si>
  <si>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</si>
  <si>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</si>
  <si>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</si>
  <si>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</si>
  <si>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</si>
  <si>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</si>
  <si>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</si>
  <si>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</si>
  <si>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</si>
  <si>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</si>
  <si>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</si>
  <si>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</si>
  <si>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</si>
  <si>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</si>
  <si>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</si>
  <si>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</si>
  <si>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</si>
  <si>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</si>
  <si>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</si>
  <si>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</si>
  <si>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</si>
  <si>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</si>
  <si>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</si>
  <si>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</si>
  <si>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</si>
  <si>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</si>
  <si>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</si>
  <si>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</si>
  <si>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</si>
  <si>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</si>
  <si>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</si>
  <si>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</si>
  <si>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</si>
  <si>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</si>
  <si>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</si>
  <si>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</si>
  <si>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</si>
  <si>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</si>
  <si>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</si>
  <si>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</si>
  <si>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</si>
  <si>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</si>
  <si>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</si>
  <si>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</si>
  <si>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</si>
  <si>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</si>
  <si>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</si>
  <si>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</si>
  <si>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</si>
  <si>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</si>
  <si>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</si>
  <si>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</si>
  <si>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</si>
  <si>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</si>
  <si>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</si>
  <si>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</si>
  <si>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</si>
  <si>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</si>
  <si>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</si>
  <si>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</si>
  <si>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</si>
  <si>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</si>
  <si>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</si>
  <si>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</si>
  <si>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</si>
  <si>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</si>
  <si>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</si>
  <si>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</si>
  <si>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</si>
  <si>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</si>
  <si>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</si>
  <si>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</si>
  <si>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</si>
  <si>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</si>
  <si>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</si>
  <si>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</si>
  <si>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</si>
  <si>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</si>
  <si>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</si>
  <si>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</si>
  <si>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</si>
  <si>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</si>
  <si>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</si>
  <si>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</si>
  <si>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</si>
  <si>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</si>
  <si>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</si>
  <si>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</si>
  <si>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</si>
  <si>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</si>
  <si>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</si>
  <si>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</si>
  <si>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</si>
  <si>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</si>
  <si>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</si>
  <si>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</si>
  <si>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</si>
  <si>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</si>
  <si>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</si>
  <si>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</si>
  <si>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</si>
  <si>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</si>
  <si>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</si>
  <si>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</si>
  <si>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</si>
  <si>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</si>
  <si>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</si>
  <si>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</si>
  <si>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</si>
  <si>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</si>
  <si>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</si>
  <si>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</si>
  <si>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</si>
  <si>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</si>
  <si>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</si>
  <si>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</si>
  <si>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</si>
  <si>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</si>
  <si>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</si>
  <si>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</si>
  <si>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</si>
  <si>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</si>
  <si>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</si>
  <si>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</si>
  <si>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</si>
  <si>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</si>
  <si>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</si>
  <si>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</si>
  <si>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</si>
  <si>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</si>
  <si>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</si>
  <si>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</si>
  <si>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</si>
  <si>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</si>
  <si>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</si>
  <si>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</si>
  <si>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</si>
  <si>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</si>
  <si>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</si>
  <si>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</si>
  <si>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</si>
  <si>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</si>
  <si>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</si>
  <si>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</si>
  <si>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</si>
  <si>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</si>
  <si>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</si>
  <si>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</si>
  <si>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</si>
  <si>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</si>
  <si>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</si>
  <si>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</si>
  <si>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</si>
  <si>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</si>
  <si>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</si>
  <si>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</si>
  <si>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</si>
  <si>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</si>
  <si>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</si>
  <si>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</si>
  <si>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</si>
  <si>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</si>
  <si>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</si>
  <si>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</si>
  <si>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</si>
  <si>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</si>
  <si>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</si>
  <si>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</si>
  <si>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</si>
  <si>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</si>
  <si>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</si>
  <si>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</si>
  <si>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</si>
  <si>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</si>
  <si>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</si>
  <si>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</si>
  <si>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</si>
  <si>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</si>
  <si>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</si>
  <si>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</si>
  <si>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</si>
  <si>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</si>
  <si>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</si>
  <si>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</si>
  <si>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</si>
  <si>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</si>
  <si>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</si>
  <si>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</si>
  <si>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</si>
  <si>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</si>
  <si>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</si>
  <si>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</si>
  <si>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</si>
  <si>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</si>
  <si>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</si>
  <si>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</si>
  <si>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</si>
  <si>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</si>
  <si>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</si>
  <si>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</si>
  <si>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</si>
  <si>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</si>
  <si>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</si>
  <si>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</si>
  <si>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</si>
  <si>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</si>
  <si>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</si>
  <si>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</si>
  <si>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</si>
  <si>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</si>
  <si>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</si>
  <si>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</si>
  <si>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</si>
  <si>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</si>
  <si>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</si>
  <si>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</si>
  <si>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</si>
  <si>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</si>
  <si>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</si>
  <si>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</si>
  <si>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</si>
  <si>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</si>
  <si>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</si>
  <si>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</si>
  <si>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</si>
  <si>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</si>
  <si>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</si>
  <si>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</si>
  <si>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</si>
  <si>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</si>
  <si>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</si>
  <si>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</si>
  <si>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</si>
  <si>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</si>
  <si>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</si>
  <si>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</si>
  <si>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</si>
  <si>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</si>
  <si>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</si>
  <si>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</si>
  <si>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</si>
  <si>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</si>
  <si>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</si>
  <si>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</si>
  <si>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</si>
  <si>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</si>
  <si>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</si>
  <si>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</si>
  <si>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</si>
  <si>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</si>
  <si>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</si>
  <si>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</si>
  <si>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</si>
  <si>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</si>
  <si>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</si>
  <si>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</si>
  <si>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</si>
  <si>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</si>
  <si>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</si>
  <si>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</si>
  <si>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</si>
  <si>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</si>
  <si>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</si>
  <si>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</si>
  <si>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</si>
  <si>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</si>
  <si>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</si>
  <si>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</si>
  <si>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</si>
  <si>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</si>
  <si>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</si>
  <si>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</si>
  <si>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</si>
  <si>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</si>
  <si>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</si>
  <si>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</si>
  <si>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</si>
  <si>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</si>
  <si>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</si>
  <si>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</si>
  <si>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</si>
  <si>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</si>
  <si>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</si>
  <si>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</si>
  <si>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</si>
  <si>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</si>
  <si>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</si>
  <si>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</si>
  <si>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</si>
  <si>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</si>
  <si>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</si>
  <si>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</si>
  <si>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</si>
  <si>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</si>
  <si>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</si>
  <si>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</si>
  <si>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</si>
  <si>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</si>
  <si>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</si>
  <si>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</si>
  <si>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</si>
  <si>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</si>
  <si>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</si>
  <si>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</si>
  <si>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</si>
  <si>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</si>
  <si>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</si>
  <si>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</si>
  <si>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</si>
  <si>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</si>
  <si>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</si>
  <si>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</si>
  <si>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</si>
  <si>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</si>
  <si>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</si>
  <si>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</si>
  <si>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</si>
  <si>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</si>
  <si>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</si>
  <si>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</si>
  <si>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</si>
  <si>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</si>
  <si>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</si>
  <si>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</si>
  <si>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</si>
  <si>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</si>
  <si>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</si>
  <si>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</si>
  <si>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</si>
  <si>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</si>
  <si>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</si>
  <si>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</si>
  <si>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</si>
  <si>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</si>
  <si>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</si>
  <si>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</si>
  <si>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</si>
  <si>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</si>
  <si>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</si>
  <si>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</si>
  <si>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</si>
  <si>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</si>
  <si>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</si>
  <si>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</si>
  <si>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</si>
  <si>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</si>
  <si>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</si>
  <si>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</si>
  <si>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</si>
  <si>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</si>
  <si>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</si>
  <si>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</si>
  <si>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</si>
  <si>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</si>
  <si>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</si>
  <si>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</si>
  <si>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</si>
  <si>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</si>
  <si>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</si>
  <si>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</si>
  <si>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</si>
  <si>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</si>
  <si>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</si>
  <si>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</si>
  <si>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</si>
  <si>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</si>
  <si>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</si>
  <si>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</si>
  <si>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</si>
  <si>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</si>
  <si>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</si>
  <si>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</si>
  <si>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</si>
  <si>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</si>
  <si>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</si>
  <si>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</si>
  <si>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</si>
  <si>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</si>
  <si>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</si>
  <si>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</si>
  <si>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</si>
  <si>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</si>
  <si>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</si>
  <si>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</si>
  <si>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</si>
  <si>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</si>
  <si>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</si>
  <si>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</si>
  <si>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</si>
  <si>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</si>
  <si>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</si>
  <si>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</si>
  <si>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</si>
  <si>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</si>
  <si>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</si>
  <si>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</si>
  <si>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</si>
  <si>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</si>
  <si>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</si>
  <si>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</si>
  <si>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</si>
  <si>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</si>
  <si>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</si>
  <si>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</si>
  <si>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</si>
  <si>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</si>
  <si>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</si>
  <si>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</si>
  <si>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</si>
  <si>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</si>
  <si>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</si>
  <si>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</si>
  <si>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</si>
  <si>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</si>
  <si>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</si>
  <si>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</si>
  <si>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</si>
  <si>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</si>
  <si>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</si>
  <si>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</si>
  <si>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</si>
  <si>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</si>
  <si>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</si>
  <si>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</si>
  <si>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</si>
  <si>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</si>
  <si>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</si>
  <si>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</si>
  <si>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</si>
  <si>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</si>
  <si>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</si>
  <si>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</si>
  <si>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</si>
  <si>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</si>
  <si>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</si>
  <si>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</si>
  <si>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</si>
  <si>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</si>
  <si>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</si>
  <si>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</si>
  <si>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</si>
  <si>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</si>
  <si>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</si>
  <si>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</si>
  <si>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</si>
  <si>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</si>
  <si>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</si>
  <si>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</si>
  <si>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</si>
  <si>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</si>
  <si>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</si>
  <si>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</si>
  <si>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</si>
  <si>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</si>
  <si>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</si>
  <si>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</si>
  <si>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</si>
  <si>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</si>
  <si>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</si>
  <si>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</si>
  <si>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</si>
  <si>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</si>
  <si>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</si>
  <si>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</si>
  <si>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</si>
  <si>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</si>
  <si>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</si>
  <si>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</si>
  <si>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</si>
  <si>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</si>
  <si>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</si>
  <si>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</si>
  <si>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</si>
  <si>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</si>
  <si>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</si>
  <si>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</si>
  <si>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</si>
  <si>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</si>
  <si>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</si>
  <si>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</si>
  <si>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</si>
  <si>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</si>
  <si>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</si>
  <si>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</si>
  <si>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</si>
  <si>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</si>
  <si>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</si>
  <si>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</si>
  <si>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</si>
  <si>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</si>
  <si>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</si>
  <si>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</si>
  <si>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</si>
  <si>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</si>
  <si>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</si>
  <si>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</si>
  <si>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</si>
  <si>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</si>
  <si>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</si>
  <si>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</si>
  <si>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</si>
  <si>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</si>
  <si>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</si>
  <si>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</si>
  <si>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</si>
  <si>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</si>
  <si>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</si>
  <si>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</si>
  <si>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</si>
  <si>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</si>
  <si>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</si>
  <si>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</si>
  <si>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</si>
  <si>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</si>
  <si>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</si>
  <si>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</si>
  <si>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</si>
  <si>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</si>
  <si>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</si>
  <si>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</si>
  <si>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</si>
  <si>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</si>
  <si>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</si>
  <si>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</si>
  <si>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</si>
  <si>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</si>
  <si>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</si>
  <si>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</si>
  <si>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</si>
  <si>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</si>
  <si>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</si>
  <si>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</si>
  <si>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</si>
  <si>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</si>
  <si>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</si>
  <si>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</si>
  <si>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</si>
  <si>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</si>
  <si>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</si>
  <si>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</si>
  <si>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</si>
  <si>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</si>
  <si>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</si>
  <si>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</si>
  <si>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</si>
  <si>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</si>
  <si>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</si>
  <si>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</si>
  <si>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</si>
  <si>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</si>
  <si>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</si>
  <si>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</si>
  <si>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</si>
  <si>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</si>
  <si>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</si>
  <si>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</si>
  <si>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</si>
  <si>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</si>
  <si>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</si>
  <si>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</si>
  <si>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</si>
  <si>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</si>
  <si>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</si>
  <si>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</si>
  <si>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</si>
  <si>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</si>
  <si>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</si>
  <si>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</si>
  <si>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</si>
  <si>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</si>
  <si>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</si>
  <si>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</si>
  <si>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</si>
  <si>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</si>
  <si>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</si>
  <si>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</si>
  <si>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</si>
  <si>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</si>
  <si>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</si>
  <si>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</si>
  <si>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</si>
  <si>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</si>
  <si>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</si>
  <si>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</si>
  <si>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</si>
  <si>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</si>
  <si>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</si>
  <si>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</si>
  <si>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</si>
  <si>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</si>
  <si>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</si>
  <si>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</si>
  <si>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</si>
  <si>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</si>
  <si>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</si>
  <si>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</si>
  <si>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</si>
  <si>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</si>
  <si>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</si>
  <si>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</si>
  <si>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</si>
  <si>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</si>
  <si>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</si>
  <si>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</si>
  <si>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</si>
  <si>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</si>
  <si>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</si>
  <si>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</si>
  <si>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</si>
  <si>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</si>
  <si>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</si>
  <si>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</si>
  <si>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</si>
  <si>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</si>
  <si>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</si>
  <si>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</si>
  <si>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</si>
  <si>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</si>
  <si>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</si>
  <si>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</si>
  <si>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</si>
  <si>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</si>
  <si>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</si>
  <si>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</si>
  <si>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</si>
  <si>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</si>
  <si>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</si>
  <si>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</si>
  <si>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</si>
  <si>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</si>
  <si>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</si>
  <si>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</si>
  <si>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</si>
  <si>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</si>
  <si>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</si>
  <si>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</si>
  <si>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</si>
  <si>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</si>
  <si>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</si>
  <si>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</si>
  <si>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</si>
  <si>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</si>
  <si>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</si>
  <si>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</si>
  <si>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</si>
  <si>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</si>
  <si>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</si>
  <si>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</si>
  <si>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</si>
  <si>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</si>
  <si>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</si>
  <si>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</si>
  <si>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</si>
  <si>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</si>
  <si>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</si>
  <si>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</si>
  <si>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Dr. Susan Zola</t>
  </si>
  <si>
    <t>zolasu@u4sd.org</t>
  </si>
  <si>
    <t>(217) 351-3838</t>
  </si>
  <si>
    <t>Joe Lightcap</t>
  </si>
  <si>
    <t>Joe.Lightcap@bakertilly.com</t>
  </si>
  <si>
    <t>X</t>
  </si>
  <si>
    <t>General Obligation Limited Tax Bonds, 2012</t>
  </si>
  <si>
    <t>General Obligation Limited Tax Bonds, 2013</t>
  </si>
  <si>
    <t>General Obligation CAB, 2010A</t>
  </si>
  <si>
    <t>Taxable General Obligation Bonds, 2010B</t>
  </si>
  <si>
    <t>General Obligation CA Lease Obligation, 2010C</t>
  </si>
  <si>
    <t>Taxable General Obligation Lease Obi, 2010D</t>
  </si>
  <si>
    <t>Building Lease</t>
  </si>
  <si>
    <t>American Capital Oct-17 Bus Lease</t>
  </si>
  <si>
    <t>Commerce Bank April 16 Buses</t>
  </si>
  <si>
    <t>Commerce Bank March 15 Buses</t>
  </si>
  <si>
    <t>Commerce Bank April 15 Buses</t>
  </si>
  <si>
    <t>General Obligation Bonds, Series 2017</t>
  </si>
  <si>
    <t>Illinois National Bank June - 18 Chromebooks Lease</t>
  </si>
  <si>
    <t>Clayton Holdings June 17 Computers</t>
  </si>
  <si>
    <t>Commerce Bank November 16 Buses</t>
  </si>
  <si>
    <t>Commerce Bank July 16 Computers</t>
  </si>
  <si>
    <t>Capital Lease</t>
  </si>
  <si>
    <t>Commerce Bank December 15 Computer (1 and 2)</t>
  </si>
  <si>
    <t>Commerce Bank July 13 and July 14 Buses</t>
  </si>
  <si>
    <t>7/9/13 and 3/31/14</t>
  </si>
  <si>
    <t>Total Federal Awards</t>
  </si>
  <si>
    <t>N/A</t>
  </si>
  <si>
    <t xml:space="preserve">   Subtotal - 93.243 - SUBSTANCE ABUSE AND MENTAL HEALTH SERVICES_PROJECTS OF REGIONAL AND NATIONAL SIGNIFICANCE</t>
  </si>
  <si>
    <t>SM-06-2024</t>
  </si>
  <si>
    <t xml:space="preserve">  Project AWARE State Educational Agency Grant - PY 17</t>
  </si>
  <si>
    <t>SUBSTANCE ABUSE AND MENTAL HEALTH SERVICES_PROJECTS OF REGIONAL AND NATIONAL SIGNIFICANCE</t>
  </si>
  <si>
    <t xml:space="preserve">   Subtotal - MEDICAID CLUSTER</t>
  </si>
  <si>
    <t xml:space="preserve">   Subtotal - 93.778 - MEDICAL ASSISTANCE PROGRAM</t>
  </si>
  <si>
    <t>18-4991-00</t>
  </si>
  <si>
    <t xml:space="preserve">  Medicaid Matching (Administrative Outreach) - PY 18</t>
  </si>
  <si>
    <t>17-4991-00</t>
  </si>
  <si>
    <t xml:space="preserve">  Medicaid Matching (Administrative Outreach) - PY 17</t>
  </si>
  <si>
    <t>MEDICAL ASSISTANCE PROGRAM</t>
  </si>
  <si>
    <t>MEDICAID CLUSTER</t>
  </si>
  <si>
    <t>U.S. Department of Health and Human Services - Passed Through Illinois Department of Healthcare and Family Services:</t>
  </si>
  <si>
    <t xml:space="preserve">   Subtotal - CHILD NUTRITION CLUSTER</t>
  </si>
  <si>
    <t xml:space="preserve">   Subtotal - 10.555 - NATIONAL SCHOOL LUNCH PROGRAM</t>
  </si>
  <si>
    <t>18-4999-00</t>
  </si>
  <si>
    <t>Non-Cash Commodities-Department of Defense Fresh Fruits and Vegetables FY18 (M)</t>
  </si>
  <si>
    <t>17-4999-00</t>
  </si>
  <si>
    <t>Non-Cash Commodities-Department of Defense Fresh Fruits and Vegetables FY17 (M)</t>
  </si>
  <si>
    <t>FRESH FRUIT AND VEGETABLE PROGRAM</t>
  </si>
  <si>
    <t>U.S. Department of Defense - Passed Through Illinois State Board of Education (ISBE):</t>
  </si>
  <si>
    <t>18-4210-00</t>
  </si>
  <si>
    <t>17-4210-00</t>
  </si>
  <si>
    <t>NATIONAL SCHOOL LUNCH PROGRAM</t>
  </si>
  <si>
    <t xml:space="preserve">   Subtotal - 10.559 - SUMMER FOOD SERVICE PROGRAM FOR CHILDREN</t>
  </si>
  <si>
    <t>18-4225-00</t>
  </si>
  <si>
    <t>17-4225-00</t>
  </si>
  <si>
    <t>SUMMER FOOD SERVICE PROGRAM FOR CHILDREN</t>
  </si>
  <si>
    <t xml:space="preserve">   Subtotal - 10.553 - SCHOOL BREAKFAST PROGRAM</t>
  </si>
  <si>
    <t>18-4220-00</t>
  </si>
  <si>
    <t>17-4220-00</t>
  </si>
  <si>
    <t>SCHOOL BREAKFAST PROGRAM</t>
  </si>
  <si>
    <t>CHILD NUTRITION CLUSTER</t>
  </si>
  <si>
    <t>18-4260-00</t>
  </si>
  <si>
    <t xml:space="preserve">  NSLP Equipment Assistance Grant - PY 18</t>
  </si>
  <si>
    <t>Child Nutrition Discretionary Grants Limited Availability</t>
  </si>
  <si>
    <t xml:space="preserve">   Subtotal - 10.558 - CHILD AND ADULT CARE FOOD PROGRAM</t>
  </si>
  <si>
    <t>18-4226-00</t>
  </si>
  <si>
    <t xml:space="preserve">  Child and Adult Care Food Program - PY 18</t>
  </si>
  <si>
    <t>17-4226-00</t>
  </si>
  <si>
    <t xml:space="preserve">  Child and Adult Care Food Program - PY 17</t>
  </si>
  <si>
    <t>CHILD AND ADULT CARE FOOD PROGRAM</t>
  </si>
  <si>
    <t>U.S. Department of Agriculture - Passed Through Illinois State Board of Education (ISBE):</t>
  </si>
  <si>
    <t xml:space="preserve">   Subtotal - 84.165 - Magnet Schools Assistance Program</t>
  </si>
  <si>
    <t>18-4060-00</t>
  </si>
  <si>
    <t>Magnet Schools Assistance Program - PY18</t>
  </si>
  <si>
    <t>MAGNET SCHOOLS ASSISTANCE PARTNERSHIPS</t>
  </si>
  <si>
    <t xml:space="preserve">   Subtotal - 84.367 - IMPROVING TEACHER QUALITY STATE GRANTS</t>
  </si>
  <si>
    <t>18-4932-00</t>
  </si>
  <si>
    <t xml:space="preserve">  Title II - Teacher Quality - PY18</t>
  </si>
  <si>
    <t>17-4932-00</t>
  </si>
  <si>
    <t xml:space="preserve">  Title II - Teacher Quality - PY17</t>
  </si>
  <si>
    <t>IMPROVING TEACHER QUALITY STATE GRANTS</t>
  </si>
  <si>
    <t xml:space="preserve">   Subtotal - 84.365 - ENGLISH LANGUAGE ACQUISITION STATE GRANTS</t>
  </si>
  <si>
    <t>17-4998-SI</t>
  </si>
  <si>
    <t>Title III -  Program Improvement Grant</t>
  </si>
  <si>
    <t>18-4909-00</t>
  </si>
  <si>
    <t xml:space="preserve">  Title III - (LIPLEP) - PY 18</t>
  </si>
  <si>
    <t>17-4909-00</t>
  </si>
  <si>
    <t xml:space="preserve">  Title III - (LIPLEP) - PY 17</t>
  </si>
  <si>
    <t>18-4905-00</t>
  </si>
  <si>
    <t xml:space="preserve">  Title III - (IEP) - PY 18</t>
  </si>
  <si>
    <t>17-4905-00</t>
  </si>
  <si>
    <t xml:space="preserve">  Title III - (IEP) - PY 17</t>
  </si>
  <si>
    <t>ENGLISH LANGUAGE ACQUISITION STATE GRANTS</t>
  </si>
  <si>
    <t>Subtotal - SPECIAL EDUCATION CLUSTER (IDEA)</t>
  </si>
  <si>
    <t xml:space="preserve">   Subtotal - 84.027 - SPECIAL EDUCATION GRANTS TO STATES</t>
  </si>
  <si>
    <t>18-4625-00</t>
  </si>
  <si>
    <t>17-4625-00</t>
  </si>
  <si>
    <t>18-4620-00</t>
  </si>
  <si>
    <t>17-4620-00</t>
  </si>
  <si>
    <t>SPECIAL EDUCATION GRANTS TO STATES</t>
  </si>
  <si>
    <t xml:space="preserve">   Subtotal - 84.173 - SPECIAL EDUCATION PRESCHOOL GRANTS</t>
  </si>
  <si>
    <t>18-4600-00</t>
  </si>
  <si>
    <t>17-4600-00</t>
  </si>
  <si>
    <t>SPECIAL EDUCATION PRESCHOOL GRANTS</t>
  </si>
  <si>
    <t>SPECIAL EDUCATION CLUSTER (IDEA)</t>
  </si>
  <si>
    <t xml:space="preserve">   Subtotal - 84.010 - TITLE I GRANTS TO LOCAL EDUCATIONAL AGENCIES</t>
  </si>
  <si>
    <t>18-4300-00</t>
  </si>
  <si>
    <t xml:space="preserve">  Title I - Low Income - PY 18</t>
  </si>
  <si>
    <t>17-4300-00</t>
  </si>
  <si>
    <t xml:space="preserve">  Title I - Low Income - PY 17 </t>
  </si>
  <si>
    <t>TITLE I GRANTS TO LOCAL EDUCATIONAL AGENCIES</t>
  </si>
  <si>
    <t>U.S. Department of Education - Passed Through Illinois State Board of Education (ISBE):</t>
  </si>
  <si>
    <t>Unmodified</t>
  </si>
  <si>
    <t>Special Education Cluster (IDEA)</t>
  </si>
  <si>
    <t>Child Nutrition Cluster</t>
  </si>
  <si>
    <t>84.027, 84.173</t>
  </si>
  <si>
    <t>10.553, 10.555, 10.559</t>
  </si>
  <si>
    <t xml:space="preserve">The District is not able to prepare a complete set of financial statements in accordance with US GAAP, including note disclosures. The District is also not able to prepare the Schedule of Expenditures of Federal Awards. </t>
  </si>
  <si>
    <t xml:space="preserve">The District does not have functioning internal controls over external financial reporting, but instead relies on its auditors for this expertise. It also relies upon the auditors to make all year end conversion entries and accruals. </t>
  </si>
  <si>
    <t xml:space="preserve">Internal controls over financial reporting should be present to ensure the completeness and accuracy of financial statements and the Schedule of Expenditures of Federal Awards. </t>
  </si>
  <si>
    <t xml:space="preserve">Management may not be able to detect material errors and omissions to its financial statements and Schedule of Expenditures of Federal Awards and must rely upon the auditors for this purpose. </t>
  </si>
  <si>
    <t xml:space="preserve">We recommend that management consider training in financial reporting that would allow them to be able to correctly prepare their own financial statements and schedule of expenditures of federal awards. </t>
  </si>
  <si>
    <t xml:space="preserve">The District does not have the capability to general financial statements and will continue to rely on its auditor for this function as most school districts in Illinois do. </t>
  </si>
  <si>
    <t xml:space="preserve">Key accounting functions should be separated within the business office. </t>
  </si>
  <si>
    <t xml:space="preserve">The District does not have full segregation of duties in certain processes including payroll, vendor approval and IT controls. </t>
  </si>
  <si>
    <t xml:space="preserve">Segregation of duties must be presented to ensure no one individual can process transactions without review and approval. </t>
  </si>
  <si>
    <t xml:space="preserve">Management may not be able to detect material misstatements by incorrect transactions due to fraud and error. </t>
  </si>
  <si>
    <t xml:space="preserve">The finding is the result of the relatively small size of the District's business office, which is common for Illinois school district's. </t>
  </si>
  <si>
    <t xml:space="preserve">The District should consider the costs of additional controls to allow for proper segregation versus the ultimate benefits those controls would bring. </t>
  </si>
  <si>
    <t xml:space="preserve">The District will perform a comprehensive review of employee duties within the Business Office and investigate any opportunities that are available to develop a process that allows for segregation of duties to be obtained by reallocating job duties to different employees. In the event that job duties can not be reallocated amongst available personnel in the business office, the District will work towards implementing monitoring controls over changes to the payroll system to ensure that all changes made within the system are properly approved and performed correctly throughout the year. </t>
  </si>
  <si>
    <t>2017-001</t>
  </si>
  <si>
    <t xml:space="preserve">Like most District's in Illinois, the District does not have functioning internal controls over external financial reporting, but instead relies on its auditors for this expertise. It also relies upon the auditors to make material audit adjustments. </t>
  </si>
  <si>
    <t xml:space="preserve">The District does not have the capability to generate financial statements and continue to rely on its auditor for this function. </t>
  </si>
  <si>
    <t>2017-002</t>
  </si>
  <si>
    <t xml:space="preserve">The District lacks proper segregation of duties in certain payroll processes, vendor approval, and IT controls. </t>
  </si>
  <si>
    <t xml:space="preserve">The District will perform a comprehensive review of employee duties within the Business Office to investigate any opportunities that were available to develop a process of segregation of duties. </t>
  </si>
  <si>
    <t>Page 9, Row 17 Other Payments in Lieu of Taxes</t>
  </si>
  <si>
    <t>Miscellaneous tax revenue</t>
  </si>
  <si>
    <t>Page 10, Row 81 Other District/School Activity Revenue</t>
  </si>
  <si>
    <t>Payroll reimbursement</t>
  </si>
  <si>
    <t>Page 11, Row 106 Other Local Fees</t>
  </si>
  <si>
    <t>Miscellaneous other fees</t>
  </si>
  <si>
    <t>Page 11, Row 107 Other Local Revenues</t>
  </si>
  <si>
    <t>Miscellaneous other revenue</t>
  </si>
  <si>
    <t>Page 12, Row 171 Other Restricted Revenue from State Sources</t>
  </si>
  <si>
    <t>Miscellaneous grant revenue</t>
  </si>
  <si>
    <t>Page 13, Row 200 Food Service - Other</t>
  </si>
  <si>
    <t>Other food service revenue</t>
  </si>
  <si>
    <t>Page 14, Row 272 Other Restricted Revenue from Federal Sources</t>
  </si>
  <si>
    <t>Miscellaneous other Federal revenue</t>
  </si>
  <si>
    <t>Ed Fund - Page 16, Row 73 Other Support Services</t>
  </si>
  <si>
    <t>Other support grant expenditures</t>
  </si>
  <si>
    <t>Other medicare expenditures</t>
  </si>
  <si>
    <t>Accretion on capital appreciation bonds, capital leases issued/principal payments</t>
  </si>
  <si>
    <t>IMRF Fund - Page 20, Row 278 Other Support Services</t>
  </si>
  <si>
    <t>CP Fund - Page 21, Row 302 Other Support Services</t>
  </si>
  <si>
    <t>Schedule of Long-term Debt - Page 24</t>
  </si>
  <si>
    <t>Build America Bonds Reimbursement is not a SEFA revenue</t>
  </si>
  <si>
    <t>Value of Commodities already included above</t>
  </si>
  <si>
    <t>DS Fund - Page 18, Row 171 Debt Services - Other</t>
  </si>
  <si>
    <t>Miscellaneous debt issuance expenditures</t>
  </si>
  <si>
    <t>Urbana School District - Mentoring Program</t>
  </si>
  <si>
    <t>O&amp;M-O&amp;M Plant Services-Purchased Services</t>
  </si>
  <si>
    <t>20-2540-300</t>
  </si>
  <si>
    <t>English Brothers</t>
  </si>
  <si>
    <t>ED-Instructional Staff-Purchased Services</t>
  </si>
  <si>
    <t>10-2200-300</t>
  </si>
  <si>
    <t>University of Chicago</t>
  </si>
  <si>
    <t>Metis Associates</t>
  </si>
  <si>
    <t>ED-Instruction-Purchased Services</t>
  </si>
  <si>
    <t>10-1000-300</t>
  </si>
  <si>
    <t>Raptor Technologies</t>
  </si>
  <si>
    <t>PAN LTD</t>
  </si>
  <si>
    <t>Lead4Life Foundtion Inc</t>
  </si>
  <si>
    <t>Northwest Evaluation Assoc</t>
  </si>
  <si>
    <t>ED-General Adminstration-Purchased Services</t>
  </si>
  <si>
    <t>10-2300-300</t>
  </si>
  <si>
    <t>Rocket, Inc</t>
  </si>
  <si>
    <t>Don Moyer Bosy &amp; Girls Club</t>
  </si>
  <si>
    <t>Rosecrance Inc</t>
  </si>
  <si>
    <t>New capital leases totaling $3,938,993 included in the differences column.</t>
  </si>
  <si>
    <t>Issuance costs on bonds sold</t>
  </si>
  <si>
    <t>Fed. Spec. Ed. - IDEA - Flow Through - Preschool - PY17 (M)</t>
  </si>
  <si>
    <t>Fed. Spec. Ed. - IDEA - Flow Through - Preschool - PY18 (M)</t>
  </si>
  <si>
    <t xml:space="preserve">  Sp. Ed. - IDEA - Flow through - PY 17 (M)</t>
  </si>
  <si>
    <t xml:space="preserve">  Sp. Ed. - IDEA - Flow through - PY 18 (M)</t>
  </si>
  <si>
    <t xml:space="preserve">  Sp. Ed. - IDEA - Room &amp; Board - PY 17 (M)</t>
  </si>
  <si>
    <t xml:space="preserve">  Sp. Ed. - IDEA - Room &amp; Board - PY 18 (M)</t>
  </si>
  <si>
    <t xml:space="preserve">  School Breakfast Program - PY 17 (M)</t>
  </si>
  <si>
    <t xml:space="preserve">  School Breakfast Program - PY 18 (M)</t>
  </si>
  <si>
    <t xml:space="preserve">  Summer Food Service Program - PY 17 (M)</t>
  </si>
  <si>
    <t xml:space="preserve">  Summer Food Service Program - PY 18 (M)</t>
  </si>
  <si>
    <t xml:space="preserve">  National School Lunch Program - PY 17  (M)</t>
  </si>
  <si>
    <t xml:space="preserve">  National School Lunch Program - PY 18 (M)</t>
  </si>
  <si>
    <t xml:space="preserve">  Food Commodities - PY 17 (M)</t>
  </si>
  <si>
    <t xml:space="preserve">  Food Commodities - PY 18 (M)</t>
  </si>
  <si>
    <r>
      <t xml:space="preserve">The following amounts were expended in the form of non-cash assistance by </t>
    </r>
    <r>
      <rPr>
        <b/>
        <sz val="9"/>
        <rFont val="Calibri"/>
        <family val="2"/>
        <scheme val="minor"/>
      </rPr>
      <t>Champaign Community Unit School District 4</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</si>
  <si>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t xml:space="preserve">The accompanying Schedule of Expenditures of Federal Awards includes the federal grant activity of </t>
    </r>
    <r>
      <rPr>
        <b/>
        <sz val="9"/>
        <rFont val="Calibri"/>
        <family val="2"/>
        <scheme val="minor"/>
      </rPr>
      <t>Champaign Community Unit School District 4</t>
    </r>
    <r>
      <rPr>
        <sz val="9"/>
        <rFont val="Calibri"/>
        <family val="2"/>
        <scheme val="minor"/>
      </rPr>
      <t xml:space="preserve"> and is presented on the modified accrual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</si>
  <si>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t>Of the federal expenditures presented in the schedule, Champaign Community Unit School District 4 provided federal awards to subrecipients as follows:</t>
  </si>
  <si>
    <t>NONE</t>
  </si>
  <si>
    <t xml:space="preserve">This finding was caused by the District's lack of financial reporting department, which is common for Illinois school districts. </t>
  </si>
  <si>
    <t>U.S. Department of Education - Direct</t>
  </si>
  <si>
    <t>Champaign</t>
  </si>
  <si>
    <t>Champaign Community Unit School District 4</t>
  </si>
  <si>
    <t>703 South New Street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</si>
</sst>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72" x14ac:knownFonts="1">
    <font>
      <sz val="10"/>
      <name val="Arial"/>
    </font>
    <font>
      <sz val="11"/>
      <color theme="1"/>
      <name val="Calibri"/>
      <family val="2"/>
      <scheme val="minor"/>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Helv"/>
    </font>
    <font>
      <b/>
      <sz val="8"/>
      <color rgb="FF000000"/>
      <name val="Calibri"/>
      <family val="2"/>
      <scheme val="minor"/>
    </font>
    <font>
      <b/>
      <sz val="18"/>
      <color theme="3"/>
      <name val="Cambria"/>
      <family val="2"/>
      <scheme val="major"/>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sz val="12"/>
      <name val="Times New Roman"/>
      <family val="1"/>
    </font>
  </fonts>
  <fills count="59">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225">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5"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3" fillId="0" borderId="0"/>
    <xf numFmtId="0" fontId="8" fillId="0" borderId="0"/>
    <xf numFmtId="0" fontId="50" fillId="0" borderId="0" applyNumberFormat="0" applyFill="0" applyBorder="0" applyAlignment="0" applyProtection="0"/>
    <xf numFmtId="0" fontId="7" fillId="0" borderId="0"/>
    <xf numFmtId="0" fontId="6" fillId="0" borderId="0"/>
    <xf numFmtId="0" fontId="3" fillId="0" borderId="0"/>
    <xf numFmtId="37" fontId="136" fillId="0" borderId="0"/>
    <xf numFmtId="0" fontId="138" fillId="0" borderId="0" applyNumberFormat="0" applyFill="0" applyBorder="0" applyAlignment="0" applyProtection="0"/>
    <xf numFmtId="0" fontId="3" fillId="0" borderId="0"/>
    <xf numFmtId="0" fontId="3" fillId="0" borderId="0"/>
    <xf numFmtId="0" fontId="3" fillId="0" borderId="0"/>
    <xf numFmtId="0" fontId="2" fillId="0" borderId="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155" fillId="36"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155" fillId="40"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155" fillId="44"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155" fillId="48"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155" fillId="52"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155" fillId="56" borderId="0" applyNumberFormat="0" applyBorder="0" applyAlignment="0" applyProtection="0"/>
    <xf numFmtId="0" fontId="2" fillId="37" borderId="0" applyNumberFormat="0" applyBorder="0" applyAlignment="0" applyProtection="0"/>
    <xf numFmtId="0" fontId="2" fillId="37" borderId="0" applyNumberFormat="0" applyBorder="0" applyAlignment="0" applyProtection="0"/>
    <xf numFmtId="0" fontId="2" fillId="37" borderId="0" applyNumberFormat="0" applyBorder="0" applyAlignment="0" applyProtection="0"/>
    <xf numFmtId="0" fontId="2" fillId="37" borderId="0" applyNumberFormat="0" applyBorder="0" applyAlignment="0" applyProtection="0"/>
    <xf numFmtId="0" fontId="155" fillId="37" borderId="0" applyNumberFormat="0" applyBorder="0" applyAlignment="0" applyProtection="0"/>
    <xf numFmtId="0" fontId="2" fillId="41" borderId="0" applyNumberFormat="0" applyBorder="0" applyAlignment="0" applyProtection="0"/>
    <xf numFmtId="0" fontId="2" fillId="41" borderId="0" applyNumberFormat="0" applyBorder="0" applyAlignment="0" applyProtection="0"/>
    <xf numFmtId="0" fontId="2" fillId="41" borderId="0" applyNumberFormat="0" applyBorder="0" applyAlignment="0" applyProtection="0"/>
    <xf numFmtId="0" fontId="2" fillId="41" borderId="0" applyNumberFormat="0" applyBorder="0" applyAlignment="0" applyProtection="0"/>
    <xf numFmtId="0" fontId="155" fillId="41" borderId="0" applyNumberFormat="0" applyBorder="0" applyAlignment="0" applyProtection="0"/>
    <xf numFmtId="0" fontId="2" fillId="45" borderId="0" applyNumberFormat="0" applyBorder="0" applyAlignment="0" applyProtection="0"/>
    <xf numFmtId="0" fontId="2" fillId="45" borderId="0" applyNumberFormat="0" applyBorder="0" applyAlignment="0" applyProtection="0"/>
    <xf numFmtId="0" fontId="2" fillId="45" borderId="0" applyNumberFormat="0" applyBorder="0" applyAlignment="0" applyProtection="0"/>
    <xf numFmtId="0" fontId="2" fillId="45" borderId="0" applyNumberFormat="0" applyBorder="0" applyAlignment="0" applyProtection="0"/>
    <xf numFmtId="0" fontId="155" fillId="45" borderId="0" applyNumberFormat="0" applyBorder="0" applyAlignment="0" applyProtection="0"/>
    <xf numFmtId="0" fontId="2" fillId="49" borderId="0" applyNumberFormat="0" applyBorder="0" applyAlignment="0" applyProtection="0"/>
    <xf numFmtId="0" fontId="2" fillId="49" borderId="0" applyNumberFormat="0" applyBorder="0" applyAlignment="0" applyProtection="0"/>
    <xf numFmtId="0" fontId="2" fillId="49" borderId="0" applyNumberFormat="0" applyBorder="0" applyAlignment="0" applyProtection="0"/>
    <xf numFmtId="0" fontId="2" fillId="49" borderId="0" applyNumberFormat="0" applyBorder="0" applyAlignment="0" applyProtection="0"/>
    <xf numFmtId="0" fontId="155" fillId="49" borderId="0" applyNumberFormat="0" applyBorder="0" applyAlignment="0" applyProtection="0"/>
    <xf numFmtId="0" fontId="2" fillId="53" borderId="0" applyNumberFormat="0" applyBorder="0" applyAlignment="0" applyProtection="0"/>
    <xf numFmtId="0" fontId="2" fillId="53" borderId="0" applyNumberFormat="0" applyBorder="0" applyAlignment="0" applyProtection="0"/>
    <xf numFmtId="0" fontId="2" fillId="53" borderId="0" applyNumberFormat="0" applyBorder="0" applyAlignment="0" applyProtection="0"/>
    <xf numFmtId="0" fontId="2" fillId="53" borderId="0" applyNumberFormat="0" applyBorder="0" applyAlignment="0" applyProtection="0"/>
    <xf numFmtId="0" fontId="155" fillId="53" borderId="0" applyNumberFormat="0" applyBorder="0" applyAlignment="0" applyProtection="0"/>
    <xf numFmtId="0" fontId="2" fillId="57" borderId="0" applyNumberFormat="0" applyBorder="0" applyAlignment="0" applyProtection="0"/>
    <xf numFmtId="0" fontId="2" fillId="57" borderId="0" applyNumberFormat="0" applyBorder="0" applyAlignment="0" applyProtection="0"/>
    <xf numFmtId="0" fontId="2" fillId="57" borderId="0" applyNumberFormat="0" applyBorder="0" applyAlignment="0" applyProtection="0"/>
    <xf numFmtId="0" fontId="2" fillId="57" borderId="0" applyNumberFormat="0" applyBorder="0" applyAlignment="0" applyProtection="0"/>
    <xf numFmtId="0" fontId="155" fillId="57" borderId="0" applyNumberFormat="0" applyBorder="0" applyAlignment="0" applyProtection="0"/>
    <xf numFmtId="0" fontId="153" fillId="38" borderId="0" applyNumberFormat="0" applyBorder="0" applyAlignment="0" applyProtection="0"/>
    <xf numFmtId="0" fontId="156" fillId="38" borderId="0" applyNumberFormat="0" applyBorder="0" applyAlignment="0" applyProtection="0"/>
    <xf numFmtId="0" fontId="153" fillId="42" borderId="0" applyNumberFormat="0" applyBorder="0" applyAlignment="0" applyProtection="0"/>
    <xf numFmtId="0" fontId="156" fillId="42" borderId="0" applyNumberFormat="0" applyBorder="0" applyAlignment="0" applyProtection="0"/>
    <xf numFmtId="0" fontId="153" fillId="46" borderId="0" applyNumberFormat="0" applyBorder="0" applyAlignment="0" applyProtection="0"/>
    <xf numFmtId="0" fontId="156" fillId="46" borderId="0" applyNumberFormat="0" applyBorder="0" applyAlignment="0" applyProtection="0"/>
    <xf numFmtId="0" fontId="153" fillId="50" borderId="0" applyNumberFormat="0" applyBorder="0" applyAlignment="0" applyProtection="0"/>
    <xf numFmtId="0" fontId="156" fillId="50" borderId="0" applyNumberFormat="0" applyBorder="0" applyAlignment="0" applyProtection="0"/>
    <xf numFmtId="0" fontId="153" fillId="54" borderId="0" applyNumberFormat="0" applyBorder="0" applyAlignment="0" applyProtection="0"/>
    <xf numFmtId="0" fontId="156" fillId="54" borderId="0" applyNumberFormat="0" applyBorder="0" applyAlignment="0" applyProtection="0"/>
    <xf numFmtId="0" fontId="153" fillId="58" borderId="0" applyNumberFormat="0" applyBorder="0" applyAlignment="0" applyProtection="0"/>
    <xf numFmtId="0" fontId="156" fillId="58" borderId="0" applyNumberFormat="0" applyBorder="0" applyAlignment="0" applyProtection="0"/>
    <xf numFmtId="0" fontId="153" fillId="35" borderId="0" applyNumberFormat="0" applyBorder="0" applyAlignment="0" applyProtection="0"/>
    <xf numFmtId="0" fontId="156" fillId="35" borderId="0" applyNumberFormat="0" applyBorder="0" applyAlignment="0" applyProtection="0"/>
    <xf numFmtId="0" fontId="153" fillId="39" borderId="0" applyNumberFormat="0" applyBorder="0" applyAlignment="0" applyProtection="0"/>
    <xf numFmtId="0" fontId="156" fillId="39" borderId="0" applyNumberFormat="0" applyBorder="0" applyAlignment="0" applyProtection="0"/>
    <xf numFmtId="0" fontId="153" fillId="43" borderId="0" applyNumberFormat="0" applyBorder="0" applyAlignment="0" applyProtection="0"/>
    <xf numFmtId="0" fontId="156" fillId="43" borderId="0" applyNumberFormat="0" applyBorder="0" applyAlignment="0" applyProtection="0"/>
    <xf numFmtId="0" fontId="153" fillId="47" borderId="0" applyNumberFormat="0" applyBorder="0" applyAlignment="0" applyProtection="0"/>
    <xf numFmtId="0" fontId="156" fillId="47" borderId="0" applyNumberFormat="0" applyBorder="0" applyAlignment="0" applyProtection="0"/>
    <xf numFmtId="0" fontId="153" fillId="51" borderId="0" applyNumberFormat="0" applyBorder="0" applyAlignment="0" applyProtection="0"/>
    <xf numFmtId="0" fontId="156" fillId="51" borderId="0" applyNumberFormat="0" applyBorder="0" applyAlignment="0" applyProtection="0"/>
    <xf numFmtId="0" fontId="153" fillId="55" borderId="0" applyNumberFormat="0" applyBorder="0" applyAlignment="0" applyProtection="0"/>
    <xf numFmtId="0" fontId="156" fillId="55" borderId="0" applyNumberFormat="0" applyBorder="0" applyAlignment="0" applyProtection="0"/>
    <xf numFmtId="0" fontId="143" fillId="29" borderId="0" applyNumberFormat="0" applyBorder="0" applyAlignment="0" applyProtection="0"/>
    <xf numFmtId="0" fontId="157" fillId="29" borderId="0" applyNumberFormat="0" applyBorder="0" applyAlignment="0" applyProtection="0"/>
    <xf numFmtId="0" fontId="147" fillId="32" borderId="171" applyNumberFormat="0" applyAlignment="0" applyProtection="0"/>
    <xf numFmtId="0" fontId="158" fillId="32" borderId="171" applyNumberFormat="0" applyAlignment="0" applyProtection="0"/>
    <xf numFmtId="0" fontId="149" fillId="33" borderId="174" applyNumberFormat="0" applyAlignment="0" applyProtection="0"/>
    <xf numFmtId="0" fontId="159" fillId="33" borderId="174" applyNumberFormat="0" applyAlignment="0" applyProtection="0"/>
    <xf numFmtId="43" fontId="2"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3" fillId="0" borderId="0" applyFont="0" applyFill="0" applyBorder="0" applyAlignment="0" applyProtection="0"/>
    <xf numFmtId="43" fontId="155"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155"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0" fontId="151" fillId="0" borderId="0" applyNumberFormat="0" applyFill="0" applyBorder="0" applyAlignment="0" applyProtection="0"/>
    <xf numFmtId="0" fontId="160" fillId="0" borderId="0" applyNumberFormat="0" applyFill="0" applyBorder="0" applyAlignment="0" applyProtection="0"/>
    <xf numFmtId="0" fontId="142" fillId="28" borderId="0" applyNumberFormat="0" applyBorder="0" applyAlignment="0" applyProtection="0"/>
    <xf numFmtId="0" fontId="161" fillId="28" borderId="0" applyNumberFormat="0" applyBorder="0" applyAlignment="0" applyProtection="0"/>
    <xf numFmtId="0" fontId="139" fillId="0" borderId="168" applyNumberFormat="0" applyFill="0" applyAlignment="0" applyProtection="0"/>
    <xf numFmtId="0" fontId="162" fillId="0" borderId="168" applyNumberFormat="0" applyFill="0" applyAlignment="0" applyProtection="0"/>
    <xf numFmtId="0" fontId="140" fillId="0" borderId="169" applyNumberFormat="0" applyFill="0" applyAlignment="0" applyProtection="0"/>
    <xf numFmtId="0" fontId="163" fillId="0" borderId="169" applyNumberFormat="0" applyFill="0" applyAlignment="0" applyProtection="0"/>
    <xf numFmtId="0" fontId="141" fillId="0" borderId="170" applyNumberFormat="0" applyFill="0" applyAlignment="0" applyProtection="0"/>
    <xf numFmtId="0" fontId="164" fillId="0" borderId="170" applyNumberFormat="0" applyFill="0" applyAlignment="0" applyProtection="0"/>
    <xf numFmtId="0" fontId="141" fillId="0" borderId="0" applyNumberFormat="0" applyFill="0" applyBorder="0" applyAlignment="0" applyProtection="0"/>
    <xf numFmtId="0" fontId="164" fillId="0" borderId="0" applyNumberFormat="0" applyFill="0" applyBorder="0" applyAlignment="0" applyProtection="0"/>
    <xf numFmtId="0" fontId="154" fillId="0" borderId="0" applyNumberFormat="0" applyFill="0" applyBorder="0" applyAlignment="0" applyProtection="0">
      <alignment vertical="top"/>
      <protection locked="0"/>
    </xf>
    <xf numFmtId="0" fontId="145" fillId="31" borderId="171" applyNumberFormat="0" applyAlignment="0" applyProtection="0"/>
    <xf numFmtId="0" fontId="165" fillId="31" borderId="171" applyNumberFormat="0" applyAlignment="0" applyProtection="0"/>
    <xf numFmtId="0" fontId="148" fillId="0" borderId="173" applyNumberFormat="0" applyFill="0" applyAlignment="0" applyProtection="0"/>
    <xf numFmtId="0" fontId="166" fillId="0" borderId="173" applyNumberFormat="0" applyFill="0" applyAlignment="0" applyProtection="0"/>
    <xf numFmtId="0" fontId="144" fillId="30" borderId="0" applyNumberFormat="0" applyBorder="0" applyAlignment="0" applyProtection="0"/>
    <xf numFmtId="0" fontId="167" fillId="30" borderId="0" applyNumberFormat="0" applyBorder="0" applyAlignment="0" applyProtection="0"/>
    <xf numFmtId="0" fontId="9" fillId="0" borderId="0"/>
    <xf numFmtId="0" fontId="2" fillId="0" borderId="0"/>
    <xf numFmtId="0" fontId="9" fillId="0" borderId="0"/>
    <xf numFmtId="0" fontId="2" fillId="0" borderId="0"/>
    <xf numFmtId="0" fontId="3" fillId="0" borderId="0"/>
    <xf numFmtId="0" fontId="9" fillId="0" borderId="0"/>
    <xf numFmtId="0" fontId="9" fillId="0" borderId="0"/>
    <xf numFmtId="0" fontId="9" fillId="0" borderId="0"/>
    <xf numFmtId="0" fontId="155" fillId="0" borderId="0"/>
    <xf numFmtId="0" fontId="9" fillId="0" borderId="0"/>
    <xf numFmtId="0" fontId="9" fillId="0" borderId="0"/>
    <xf numFmtId="0" fontId="2" fillId="34" borderId="175" applyNumberFormat="0" applyFont="0" applyAlignment="0" applyProtection="0"/>
    <xf numFmtId="0" fontId="2" fillId="34" borderId="175" applyNumberFormat="0" applyFont="0" applyAlignment="0" applyProtection="0"/>
    <xf numFmtId="0" fontId="2" fillId="34" borderId="175" applyNumberFormat="0" applyFont="0" applyAlignment="0" applyProtection="0"/>
    <xf numFmtId="0" fontId="2" fillId="34" borderId="175" applyNumberFormat="0" applyFont="0" applyAlignment="0" applyProtection="0"/>
    <xf numFmtId="0" fontId="155" fillId="34" borderId="175" applyNumberFormat="0" applyFont="0" applyAlignment="0" applyProtection="0"/>
    <xf numFmtId="0" fontId="146" fillId="32" borderId="172" applyNumberFormat="0" applyAlignment="0" applyProtection="0"/>
    <xf numFmtId="0" fontId="168" fillId="32" borderId="172" applyNumberFormat="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0" fontId="152" fillId="0" borderId="176" applyNumberFormat="0" applyFill="0" applyAlignment="0" applyProtection="0"/>
    <xf numFmtId="0" fontId="169" fillId="0" borderId="176" applyNumberFormat="0" applyFill="0" applyAlignment="0" applyProtection="0"/>
    <xf numFmtId="0" fontId="150" fillId="0" borderId="0" applyNumberFormat="0" applyFill="0" applyBorder="0" applyAlignment="0" applyProtection="0"/>
    <xf numFmtId="0" fontId="170" fillId="0" borderId="0" applyNumberFormat="0" applyFill="0" applyBorder="0" applyAlignment="0" applyProtection="0"/>
    <xf numFmtId="0" fontId="2" fillId="0" borderId="0"/>
    <xf numFmtId="43" fontId="171"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9"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171" fillId="0" borderId="0" applyFont="0" applyFill="0" applyBorder="0" applyAlignment="0" applyProtection="0"/>
    <xf numFmtId="43" fontId="171" fillId="0" borderId="0" applyFont="0" applyFill="0" applyBorder="0" applyAlignment="0" applyProtection="0"/>
    <xf numFmtId="43" fontId="2" fillId="0" borderId="0" applyFont="0" applyFill="0" applyBorder="0" applyAlignment="0" applyProtection="0"/>
    <xf numFmtId="43" fontId="3" fillId="0" borderId="0" applyFont="0" applyFill="0" applyBorder="0" applyAlignment="0" applyProtection="0"/>
    <xf numFmtId="43" fontId="9"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171" fillId="0" borderId="0" applyFont="0" applyFill="0" applyBorder="0" applyAlignment="0" applyProtection="0"/>
    <xf numFmtId="43" fontId="2" fillId="0" borderId="0" applyFont="0" applyFill="0" applyBorder="0" applyAlignment="0" applyProtection="0"/>
    <xf numFmtId="0" fontId="50" fillId="0" borderId="0" applyNumberFormat="0" applyFill="0" applyBorder="0" applyAlignment="0" applyProtection="0"/>
    <xf numFmtId="0" fontId="32" fillId="0" borderId="0" applyNumberFormat="0" applyFill="0" applyBorder="0" applyAlignment="0" applyProtection="0">
      <alignment vertical="top"/>
      <protection locked="0"/>
    </xf>
    <xf numFmtId="0" fontId="154" fillId="0" borderId="0" applyNumberFormat="0" applyFill="0" applyBorder="0" applyAlignment="0" applyProtection="0">
      <alignment vertical="top"/>
      <protection locked="0"/>
    </xf>
    <xf numFmtId="0" fontId="9" fillId="0" borderId="0"/>
    <xf numFmtId="0" fontId="171" fillId="0" borderId="0"/>
    <xf numFmtId="0" fontId="9" fillId="0" borderId="0"/>
    <xf numFmtId="0" fontId="3" fillId="0" borderId="0"/>
    <xf numFmtId="0" fontId="9" fillId="0" borderId="0"/>
    <xf numFmtId="0" fontId="3" fillId="0" borderId="0"/>
    <xf numFmtId="0" fontId="171" fillId="0" borderId="0"/>
    <xf numFmtId="0" fontId="171" fillId="0" borderId="0"/>
    <xf numFmtId="0" fontId="9" fillId="0" borderId="0"/>
    <xf numFmtId="0" fontId="2" fillId="0" borderId="0"/>
    <xf numFmtId="0" fontId="9" fillId="0" borderId="0"/>
    <xf numFmtId="37" fontId="136" fillId="0" borderId="0"/>
    <xf numFmtId="0" fontId="9" fillId="0" borderId="0"/>
    <xf numFmtId="0" fontId="3" fillId="0" borderId="0"/>
    <xf numFmtId="0" fontId="9" fillId="0" borderId="0"/>
    <xf numFmtId="0" fontId="9" fillId="0" borderId="0"/>
    <xf numFmtId="0" fontId="171" fillId="0" borderId="0"/>
    <xf numFmtId="0" fontId="3" fillId="0" borderId="0"/>
    <xf numFmtId="0" fontId="2" fillId="0" borderId="0"/>
    <xf numFmtId="0" fontId="2" fillId="0" borderId="0"/>
    <xf numFmtId="0" fontId="2" fillId="0" borderId="0"/>
    <xf numFmtId="0" fontId="2" fillId="0" borderId="0"/>
    <xf numFmtId="0" fontId="3" fillId="0" borderId="0"/>
    <xf numFmtId="0" fontId="2" fillId="0" borderId="0"/>
    <xf numFmtId="9" fontId="171" fillId="0" borderId="0" applyFont="0" applyFill="0" applyBorder="0" applyAlignment="0" applyProtection="0"/>
    <xf numFmtId="9" fontId="2" fillId="0" borderId="0" applyFont="0" applyFill="0" applyBorder="0" applyAlignment="0" applyProtection="0"/>
  </cellStyleXfs>
  <cellXfs count="2559">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8"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6" xfId="12" applyNumberFormat="1" applyFont="1" applyBorder="1" applyAlignment="1" applyProtection="1">
      <alignment horizontal="right" vertical="center"/>
    </xf>
    <xf numFmtId="0" fontId="10" fillId="0" borderId="126" xfId="12" applyFont="1" applyBorder="1" applyAlignment="1" applyProtection="1">
      <alignment vertical="center"/>
    </xf>
    <xf numFmtId="0" fontId="13" fillId="0" borderId="129" xfId="12" applyFont="1" applyBorder="1" applyAlignment="1" applyProtection="1">
      <alignment vertical="center"/>
    </xf>
    <xf numFmtId="0" fontId="13" fillId="0" borderId="127" xfId="12" applyFont="1" applyBorder="1" applyAlignment="1" applyProtection="1">
      <alignment vertical="center"/>
    </xf>
    <xf numFmtId="1" fontId="9" fillId="0" borderId="0" xfId="0" applyNumberFormat="1" applyFont="1" applyAlignment="1">
      <alignment horizontal="center" vertical="center"/>
    </xf>
    <xf numFmtId="0" fontId="10" fillId="0" borderId="136" xfId="12" applyFont="1" applyBorder="1" applyAlignment="1" applyProtection="1">
      <alignment vertical="center"/>
    </xf>
    <xf numFmtId="0" fontId="10"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1" xfId="0" applyFont="1" applyFill="1" applyBorder="1" applyAlignment="1">
      <alignment horizontal="center" vertical="center"/>
    </xf>
    <xf numFmtId="0" fontId="74" fillId="10" borderId="102" xfId="0" applyFont="1" applyFill="1" applyBorder="1" applyAlignment="1">
      <alignment horizontal="center" vertical="center"/>
    </xf>
    <xf numFmtId="0" fontId="52" fillId="18" borderId="122" xfId="0" applyFont="1" applyFill="1" applyBorder="1" applyAlignment="1" applyProtection="1">
      <alignment horizontal="left" vertical="center"/>
    </xf>
    <xf numFmtId="164" fontId="52" fillId="18" borderId="122" xfId="0" applyNumberFormat="1" applyFont="1" applyFill="1" applyBorder="1" applyAlignment="1" applyProtection="1">
      <alignment horizontal="center" vertical="center"/>
    </xf>
    <xf numFmtId="164" fontId="62" fillId="18" borderId="122" xfId="0" applyNumberFormat="1" applyFont="1" applyFill="1" applyBorder="1" applyAlignment="1" applyProtection="1">
      <alignment vertical="center"/>
    </xf>
    <xf numFmtId="0" fontId="75" fillId="11" borderId="12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110" xfId="0" applyNumberFormat="1" applyFont="1" applyFill="1" applyBorder="1" applyAlignment="1">
      <alignment horizontal="right"/>
    </xf>
    <xf numFmtId="0" fontId="76" fillId="12" borderId="103" xfId="0" applyFont="1" applyFill="1" applyBorder="1" applyAlignment="1">
      <alignment vertical="center"/>
    </xf>
    <xf numFmtId="164" fontId="52" fillId="14" borderId="118"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55" fillId="14" borderId="103" xfId="0" applyFont="1" applyFill="1" applyBorder="1" applyAlignment="1" applyProtection="1">
      <alignment vertical="center"/>
    </xf>
    <xf numFmtId="38" fontId="47" fillId="12" borderId="121" xfId="0" applyNumberFormat="1" applyFont="1" applyFill="1" applyBorder="1" applyAlignment="1" applyProtection="1">
      <alignment horizontal="right"/>
      <protection locked="0"/>
    </xf>
    <xf numFmtId="38" fontId="47" fillId="12" borderId="103" xfId="0" applyNumberFormat="1" applyFont="1" applyFill="1" applyBorder="1" applyAlignment="1" applyProtection="1">
      <alignment horizontal="right"/>
      <protection locked="0"/>
    </xf>
    <xf numFmtId="38" fontId="47" fillId="12" borderId="110" xfId="0" applyNumberFormat="1" applyFont="1" applyFill="1" applyBorder="1" applyAlignment="1" applyProtection="1">
      <alignment horizontal="right"/>
      <protection locked="0"/>
    </xf>
    <xf numFmtId="0" fontId="52" fillId="18" borderId="110" xfId="0" applyFont="1" applyFill="1" applyBorder="1" applyAlignment="1" applyProtection="1">
      <alignment horizontal="center" vertical="center"/>
    </xf>
    <xf numFmtId="164" fontId="52" fillId="18" borderId="110" xfId="0" applyNumberFormat="1" applyFont="1" applyFill="1" applyBorder="1" applyAlignment="1" applyProtection="1">
      <alignment horizontal="center" vertical="center"/>
    </xf>
    <xf numFmtId="164" fontId="62" fillId="18"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8" xfId="0" applyFont="1" applyFill="1" applyBorder="1" applyAlignment="1" applyProtection="1">
      <alignment horizontal="left" vertical="center"/>
    </xf>
    <xf numFmtId="164" fontId="52" fillId="14" borderId="110"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76" fillId="12" borderId="103" xfId="0" applyFont="1" applyFill="1" applyBorder="1" applyAlignment="1">
      <alignment horizontal="left" vertical="center"/>
    </xf>
    <xf numFmtId="0" fontId="52" fillId="14" borderId="119" xfId="0" applyFont="1" applyFill="1" applyBorder="1" applyAlignment="1" applyProtection="1">
      <alignment horizontal="center" vertical="center"/>
    </xf>
    <xf numFmtId="164" fontId="52" fillId="14" borderId="120" xfId="0" applyNumberFormat="1" applyFont="1" applyFill="1" applyBorder="1" applyAlignment="1" applyProtection="1">
      <alignment horizontal="center" vertical="center"/>
    </xf>
    <xf numFmtId="164" fontId="62" fillId="14" borderId="120" xfId="0" applyNumberFormat="1" applyFont="1" applyFill="1" applyBorder="1" applyAlignment="1" applyProtection="1">
      <alignment vertical="center"/>
    </xf>
    <xf numFmtId="38" fontId="47" fillId="12" borderId="110" xfId="0" applyNumberFormat="1" applyFont="1" applyFill="1" applyBorder="1" applyAlignment="1">
      <alignment horizontal="right"/>
    </xf>
    <xf numFmtId="0" fontId="75" fillId="11" borderId="104" xfId="0" applyFont="1" applyFill="1" applyBorder="1" applyAlignment="1">
      <alignment horizontal="left" vertical="center"/>
    </xf>
    <xf numFmtId="38" fontId="47" fillId="11" borderId="104"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6" borderId="3" xfId="0" applyNumberFormat="1" applyFont="1" applyFill="1" applyBorder="1" applyAlignment="1" applyProtection="1">
      <alignment horizontal="right"/>
    </xf>
    <xf numFmtId="38" fontId="53" fillId="6" borderId="26" xfId="0" applyNumberFormat="1" applyFont="1" applyFill="1" applyBorder="1" applyAlignment="1" applyProtection="1">
      <alignment horizontal="right"/>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0" fontId="60" fillId="0" borderId="2" xfId="0" applyFont="1" applyFill="1" applyBorder="1" applyAlignment="1" applyProtection="1">
      <alignment horizontal="left" vertical="center" indent="1"/>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0" fontId="52" fillId="0" borderId="0" xfId="0" applyFont="1" applyAlignment="1" applyProtection="1">
      <alignment vertical="center"/>
    </xf>
    <xf numFmtId="0" fontId="63" fillId="0" borderId="0" xfId="0" applyFont="1" applyAlignment="1" applyProtection="1">
      <alignment vertical="center"/>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0" fontId="60" fillId="0" borderId="2" xfId="0" applyFont="1" applyFill="1" applyBorder="1" applyAlignment="1" applyProtection="1">
      <alignment horizontal="center" vertical="top"/>
    </xf>
    <xf numFmtId="0" fontId="53" fillId="0" borderId="0" xfId="0" applyFont="1" applyFill="1" applyBorder="1" applyAlignment="1" applyProtection="1">
      <alignment vertical="center"/>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5" fillId="0" borderId="0" xfId="0" applyNumberFormat="1" applyFont="1" applyProtection="1"/>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1" fontId="60" fillId="0" borderId="4" xfId="0" applyNumberFormat="1" applyFont="1" applyBorder="1" applyAlignment="1" applyProtection="1">
      <alignment horizontal="center" vertical="center"/>
    </xf>
    <xf numFmtId="1" fontId="60" fillId="0" borderId="128" xfId="0" applyNumberFormat="1" applyFont="1" applyBorder="1" applyAlignment="1" applyProtection="1">
      <alignment horizontal="center" vertical="center"/>
    </xf>
    <xf numFmtId="1" fontId="60" fillId="0" borderId="32" xfId="0" applyNumberFormat="1" applyFont="1" applyBorder="1" applyAlignment="1" applyProtection="1">
      <alignment horizontal="center" vertical="center"/>
    </xf>
    <xf numFmtId="1" fontId="60" fillId="0" borderId="33" xfId="0" applyNumberFormat="1" applyFont="1" applyBorder="1" applyAlignment="1" applyProtection="1">
      <alignment horizontal="center" vertical="center"/>
    </xf>
    <xf numFmtId="38" fontId="53" fillId="0" borderId="27"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0" borderId="2" xfId="0" applyNumberFormat="1" applyFont="1" applyFill="1" applyBorder="1" applyAlignment="1" applyProtection="1">
      <alignment horizontal="right" vertical="center"/>
      <protection locked="0"/>
    </xf>
    <xf numFmtId="0" fontId="60" fillId="0" borderId="26" xfId="0" applyFont="1" applyBorder="1" applyAlignment="1" applyProtection="1">
      <alignment horizontal="center" vertical="center"/>
    </xf>
    <xf numFmtId="0" fontId="60" fillId="0" borderId="131" xfId="0" applyFont="1" applyFill="1" applyBorder="1" applyAlignment="1" applyProtection="1">
      <alignment horizontal="center" vertical="center"/>
    </xf>
    <xf numFmtId="0" fontId="60" fillId="0" borderId="100" xfId="0" applyFont="1" applyFill="1" applyBorder="1" applyAlignment="1" applyProtection="1">
      <alignment horizontal="center" vertical="center"/>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8"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8"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49" fontId="62" fillId="2" borderId="27" xfId="0" applyNumberFormat="1" applyFont="1" applyFill="1" applyBorder="1" applyAlignment="1">
      <alignment horizontal="center" vertical="center"/>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164" fontId="62" fillId="3" borderId="126"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0" fontId="60" fillId="0" borderId="29" xfId="0" applyFont="1" applyFill="1" applyBorder="1" applyAlignment="1">
      <alignment horizontal="center" vertical="center"/>
    </xf>
    <xf numFmtId="0" fontId="60" fillId="0" borderId="4" xfId="0" applyFont="1" applyFill="1" applyBorder="1" applyAlignment="1">
      <alignment horizontal="center" vertical="center"/>
    </xf>
    <xf numFmtId="0" fontId="60" fillId="0" borderId="2" xfId="0" applyFont="1" applyFill="1" applyBorder="1" applyAlignment="1">
      <alignment horizontal="center" vertical="center"/>
    </xf>
    <xf numFmtId="0" fontId="60" fillId="0" borderId="128" xfId="0" applyFont="1" applyFill="1" applyBorder="1" applyAlignment="1">
      <alignment horizontal="center" vertical="center"/>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49" fontId="60" fillId="0" borderId="29" xfId="0" applyNumberFormat="1" applyFont="1" applyFill="1" applyBorder="1" applyAlignment="1">
      <alignment horizontal="center" vertical="center"/>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6"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7" xfId="0" applyNumberFormat="1" applyFont="1" applyFill="1" applyBorder="1" applyAlignment="1">
      <alignment horizontal="center" vertical="center"/>
    </xf>
    <xf numFmtId="49" fontId="60" fillId="0" borderId="128"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6"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4" xfId="3" applyNumberFormat="1" applyFont="1" applyBorder="1" applyAlignment="1">
      <alignment horizontal="center" vertical="center"/>
    </xf>
    <xf numFmtId="0" fontId="55" fillId="0" borderId="134"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4"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3" xfId="0" applyFont="1" applyBorder="1"/>
    <xf numFmtId="0" fontId="53" fillId="0" borderId="13" xfId="0" applyFont="1" applyBorder="1"/>
    <xf numFmtId="0" fontId="53" fillId="0" borderId="126" xfId="0" applyFont="1" applyBorder="1" applyAlignment="1">
      <alignment horizontal="left" vertical="top"/>
    </xf>
    <xf numFmtId="164" fontId="111" fillId="0" borderId="129" xfId="0" applyNumberFormat="1" applyFont="1" applyBorder="1" applyAlignment="1">
      <alignment horizontal="right" vertical="top"/>
    </xf>
    <xf numFmtId="0" fontId="53" fillId="0" borderId="129" xfId="0" applyNumberFormat="1" applyFont="1" applyBorder="1" applyAlignment="1">
      <alignment horizontal="left" vertical="center" wrapText="1" indent="1"/>
    </xf>
    <xf numFmtId="0" fontId="83" fillId="0" borderId="128" xfId="0" applyFont="1" applyBorder="1" applyAlignment="1">
      <alignment horizontal="left" vertical="center" wrapText="1"/>
    </xf>
    <xf numFmtId="0" fontId="53" fillId="0" borderId="129" xfId="0" applyFont="1" applyBorder="1" applyAlignment="1">
      <alignment horizontal="left" vertical="top"/>
    </xf>
    <xf numFmtId="0" fontId="53" fillId="0" borderId="0" xfId="0" applyFont="1" applyBorder="1" applyAlignment="1">
      <alignment vertical="top"/>
    </xf>
    <xf numFmtId="0" fontId="113" fillId="0" borderId="129" xfId="0" applyNumberFormat="1" applyFont="1" applyBorder="1" applyAlignment="1">
      <alignment horizontal="left" vertical="center"/>
    </xf>
    <xf numFmtId="0" fontId="111" fillId="0" borderId="129" xfId="0" applyFont="1" applyBorder="1" applyAlignment="1">
      <alignment vertical="top"/>
    </xf>
    <xf numFmtId="0" fontId="111" fillId="0" borderId="129" xfId="0" applyFont="1" applyBorder="1" applyAlignment="1">
      <alignment horizontal="left" vertical="top"/>
    </xf>
    <xf numFmtId="0" fontId="53" fillId="0" borderId="126" xfId="0" applyFont="1" applyBorder="1" applyAlignment="1"/>
    <xf numFmtId="164" fontId="111" fillId="0" borderId="129" xfId="0" applyNumberFormat="1" applyFont="1" applyBorder="1" applyAlignment="1"/>
    <xf numFmtId="0" fontId="53" fillId="0" borderId="129" xfId="0" applyFont="1" applyBorder="1" applyAlignment="1"/>
    <xf numFmtId="0" fontId="60" fillId="0" borderId="127"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5"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6" xfId="0" applyFont="1" applyFill="1" applyBorder="1" applyAlignment="1"/>
    <xf numFmtId="0" fontId="52" fillId="0" borderId="129" xfId="0" applyFont="1" applyFill="1" applyBorder="1" applyAlignment="1">
      <alignment horizontal="left" vertical="top"/>
    </xf>
    <xf numFmtId="0" fontId="52" fillId="0" borderId="127"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7"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4" xfId="3" quotePrefix="1" applyNumberFormat="1" applyFont="1" applyBorder="1" applyAlignment="1" applyProtection="1">
      <alignment horizontal="left"/>
    </xf>
    <xf numFmtId="0" fontId="60" fillId="0" borderId="145" xfId="3" applyNumberFormat="1" applyFont="1" applyBorder="1" applyAlignment="1" applyProtection="1">
      <alignment horizontal="center"/>
    </xf>
    <xf numFmtId="0" fontId="60" fillId="0" borderId="145" xfId="3" applyNumberFormat="1" applyFont="1" applyBorder="1" applyProtection="1"/>
    <xf numFmtId="0" fontId="53" fillId="0" borderId="144" xfId="3" applyNumberFormat="1" applyFont="1" applyBorder="1" applyAlignment="1" applyProtection="1"/>
    <xf numFmtId="0" fontId="60" fillId="0" borderId="146" xfId="3" applyNumberFormat="1" applyFont="1" applyBorder="1" applyAlignment="1" applyProtection="1">
      <alignment horizontal="centerContinuous"/>
    </xf>
    <xf numFmtId="0" fontId="53" fillId="0" borderId="144" xfId="3" applyNumberFormat="1" applyFont="1" applyBorder="1" applyAlignment="1" applyProtection="1">
      <alignment horizontal="left"/>
    </xf>
    <xf numFmtId="0" fontId="60" fillId="0" borderId="146" xfId="3" applyNumberFormat="1" applyFont="1" applyBorder="1" applyProtection="1"/>
    <xf numFmtId="0" fontId="60" fillId="0" borderId="145"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4"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7"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8"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5"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9"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7" xfId="3" applyFont="1" applyBorder="1" applyProtection="1"/>
    <xf numFmtId="0" fontId="53" fillId="0" borderId="148" xfId="3" applyFont="1" applyBorder="1" applyProtection="1">
      <protection locked="0"/>
    </xf>
    <xf numFmtId="0" fontId="53" fillId="0" borderId="147"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0" fontId="70" fillId="0" borderId="0" xfId="3" applyFont="1" applyAlignment="1" applyProtection="1">
      <alignment horizontal="center" vertical="center"/>
    </xf>
    <xf numFmtId="0" fontId="55" fillId="0" borderId="45" xfId="3" applyFont="1" applyBorder="1" applyProtection="1"/>
    <xf numFmtId="169" fontId="62" fillId="0" borderId="45" xfId="3" applyNumberFormat="1" applyFont="1" applyBorder="1" applyAlignment="1" applyProtection="1">
      <alignment horizontal="center"/>
    </xf>
    <xf numFmtId="1" fontId="62" fillId="0" borderId="146" xfId="3" applyNumberFormat="1" applyFont="1" applyBorder="1" applyAlignment="1" applyProtection="1">
      <alignment horizontal="center"/>
    </xf>
    <xf numFmtId="0" fontId="62" fillId="0" borderId="145" xfId="3" applyFont="1" applyBorder="1" applyAlignment="1" applyProtection="1">
      <alignment horizontal="centerContinuous"/>
    </xf>
    <xf numFmtId="0" fontId="62" fillId="0" borderId="146" xfId="3" applyFont="1" applyBorder="1" applyAlignment="1" applyProtection="1">
      <alignment horizontal="centerContinuous"/>
    </xf>
    <xf numFmtId="0" fontId="62" fillId="0" borderId="73"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6"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21" borderId="72" xfId="3" applyFont="1" applyFill="1" applyBorder="1" applyAlignment="1" applyProtection="1">
      <alignment horizontal="center"/>
    </xf>
    <xf numFmtId="0" fontId="62" fillId="22" borderId="72" xfId="3" applyFont="1" applyFill="1" applyBorder="1" applyAlignment="1" applyProtection="1">
      <alignment horizontal="center"/>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5"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50" xfId="3" applyFont="1" applyBorder="1" applyAlignment="1" applyProtection="1">
      <alignment horizontal="center"/>
    </xf>
    <xf numFmtId="0" fontId="62" fillId="21" borderId="70" xfId="3" applyFont="1" applyFill="1" applyBorder="1" applyAlignment="1" applyProtection="1">
      <alignment horizontal="center"/>
    </xf>
    <xf numFmtId="0" fontId="62" fillId="5" borderId="70" xfId="3" applyFont="1" applyFill="1" applyBorder="1" applyAlignment="1" applyProtection="1">
      <alignment horizontal="center"/>
    </xf>
    <xf numFmtId="0" fontId="62" fillId="22" borderId="70" xfId="3" applyFont="1" applyFill="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3" fontId="60" fillId="0" borderId="8" xfId="3" applyNumberFormat="1" applyFont="1" applyBorder="1" applyAlignment="1" applyProtection="1">
      <alignment horizontal="center"/>
      <protection locked="0"/>
    </xf>
    <xf numFmtId="0" fontId="55" fillId="0" borderId="0" xfId="3" applyFont="1" applyAlignment="1" applyProtection="1">
      <alignment textRotation="180" wrapText="1"/>
    </xf>
    <xf numFmtId="3" fontId="60" fillId="0" borderId="0" xfId="3" applyNumberFormat="1" applyFont="1" applyBorder="1" applyAlignment="1" applyProtection="1">
      <alignment horizontal="left" vertical="center" wrapText="1"/>
      <protection locked="0"/>
    </xf>
    <xf numFmtId="169"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center"/>
      <protection locked="0"/>
    </xf>
    <xf numFmtId="169" fontId="60" fillId="0" borderId="0" xfId="3" applyNumberFormat="1" applyFont="1" applyBorder="1" applyProtection="1"/>
    <xf numFmtId="1" fontId="60" fillId="0" borderId="0" xfId="3" applyNumberFormat="1" applyFont="1" applyBorder="1" applyProtection="1"/>
    <xf numFmtId="0" fontId="52" fillId="21" borderId="0" xfId="3" applyFont="1" applyFill="1" applyProtection="1"/>
    <xf numFmtId="169" fontId="55" fillId="21" borderId="0" xfId="3" applyNumberFormat="1" applyFont="1" applyFill="1" applyProtection="1"/>
    <xf numFmtId="1" fontId="55" fillId="21" borderId="0" xfId="3" applyNumberFormat="1" applyFont="1" applyFill="1" applyProtection="1"/>
    <xf numFmtId="0" fontId="55" fillId="21" borderId="0" xfId="3" applyFont="1" applyFill="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 fontId="55" fillId="0" borderId="0" xfId="3" applyNumberFormat="1" applyFont="1" applyProtection="1"/>
    <xf numFmtId="0" fontId="52" fillId="0" borderId="78" xfId="3" applyFont="1" applyBorder="1" applyProtection="1"/>
    <xf numFmtId="169" fontId="55" fillId="0" borderId="78" xfId="3" applyNumberFormat="1" applyFont="1" applyBorder="1" applyProtection="1"/>
    <xf numFmtId="1" fontId="55" fillId="0" borderId="78" xfId="3" applyNumberFormat="1" applyFont="1" applyBorder="1" applyProtection="1"/>
    <xf numFmtId="0" fontId="55" fillId="0" borderId="78" xfId="3" applyFont="1" applyBorder="1" applyAlignment="1" applyProtection="1">
      <alignment horizontal="center"/>
    </xf>
    <xf numFmtId="0" fontId="117" fillId="0" borderId="0" xfId="3" applyFont="1" applyAlignment="1" applyProtection="1">
      <alignment horizontal="left" wrapText="1"/>
    </xf>
    <xf numFmtId="0" fontId="117" fillId="0" borderId="0" xfId="3" applyFont="1" applyAlignment="1" applyProtection="1"/>
    <xf numFmtId="0" fontId="117" fillId="0" borderId="0" xfId="3" applyFont="1" applyAlignment="1" applyProtection="1">
      <alignment wrapText="1"/>
    </xf>
    <xf numFmtId="0" fontId="60" fillId="0" borderId="0" xfId="3" applyFont="1" applyAlignment="1" applyProtection="1">
      <alignment horizontal="left" wrapText="1"/>
    </xf>
    <xf numFmtId="0" fontId="60" fillId="0" borderId="0" xfId="3" applyFont="1" applyAlignment="1" applyProtection="1">
      <alignment horizontal="left"/>
    </xf>
    <xf numFmtId="169" fontId="60" fillId="0" borderId="0" xfId="3" applyNumberFormat="1" applyFont="1" applyProtection="1"/>
    <xf numFmtId="1" fontId="60" fillId="0" borderId="0" xfId="3" applyNumberFormat="1" applyFont="1" applyProtection="1"/>
    <xf numFmtId="0" fontId="60" fillId="0" borderId="0" xfId="3" applyFont="1" applyAlignment="1" applyProtection="1">
      <alignment horizontal="center"/>
    </xf>
    <xf numFmtId="0" fontId="117" fillId="0" borderId="0" xfId="3" applyFont="1" applyAlignment="1" applyProtection="1">
      <alignment vertical="center"/>
    </xf>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5" xfId="3" applyFont="1" applyBorder="1" applyProtection="1"/>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5" xfId="3" quotePrefix="1" applyFont="1" applyBorder="1" applyAlignment="1" applyProtection="1">
      <alignment horizontal="left"/>
    </xf>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5" xfId="3" applyFont="1" applyBorder="1" applyProtection="1"/>
    <xf numFmtId="0" fontId="55" fillId="0" borderId="0" xfId="3" applyFont="1" applyBorder="1" applyAlignment="1" applyProtection="1">
      <alignment horizontal="left"/>
    </xf>
    <xf numFmtId="0" fontId="62" fillId="0" borderId="145" xfId="3" applyFont="1" applyBorder="1" applyAlignment="1" applyProtection="1">
      <alignment horizontal="left"/>
    </xf>
    <xf numFmtId="0" fontId="55" fillId="9" borderId="145" xfId="3" applyFont="1" applyFill="1" applyBorder="1" applyProtection="1"/>
    <xf numFmtId="0" fontId="55" fillId="9" borderId="145" xfId="3" applyFont="1" applyFill="1" applyBorder="1" applyAlignment="1" applyProtection="1">
      <alignment horizontal="center"/>
    </xf>
    <xf numFmtId="0" fontId="55" fillId="9" borderId="146" xfId="3" applyFont="1" applyFill="1" applyBorder="1" applyProtection="1"/>
    <xf numFmtId="0" fontId="60" fillId="9" borderId="5" xfId="3" applyFont="1" applyFill="1" applyBorder="1" applyProtection="1"/>
    <xf numFmtId="0" fontId="60" fillId="9" borderId="111"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5"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50"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4" xfId="3" applyFont="1" applyFill="1" applyBorder="1" applyProtection="1"/>
    <xf numFmtId="0" fontId="62" fillId="9" borderId="145" xfId="3" applyFont="1" applyFill="1" applyBorder="1" applyProtection="1"/>
    <xf numFmtId="0" fontId="55" fillId="0" borderId="5" xfId="3" applyFont="1" applyFill="1" applyBorder="1" applyProtection="1"/>
    <xf numFmtId="14" fontId="55" fillId="9" borderId="74" xfId="3" applyNumberFormat="1" applyFont="1" applyFill="1" applyBorder="1" applyAlignment="1" applyProtection="1">
      <alignment horizontal="center"/>
    </xf>
    <xf numFmtId="0" fontId="55" fillId="9" borderId="74" xfId="3" applyFont="1" applyFill="1" applyBorder="1" applyAlignment="1" applyProtection="1">
      <alignment horizontal="center"/>
    </xf>
    <xf numFmtId="0" fontId="55" fillId="9" borderId="40" xfId="3" applyFont="1" applyFill="1" applyBorder="1" applyProtection="1"/>
    <xf numFmtId="0" fontId="70" fillId="0" borderId="152" xfId="3" applyFont="1" applyBorder="1" applyAlignment="1" applyProtection="1">
      <alignment horizontal="left"/>
    </xf>
    <xf numFmtId="0" fontId="55" fillId="0" borderId="152" xfId="3" applyFont="1" applyBorder="1" applyProtection="1"/>
    <xf numFmtId="0" fontId="55" fillId="0" borderId="152"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9"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30"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8" xfId="0" applyNumberFormat="1" applyFont="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8"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8" xfId="0" applyNumberFormat="1" applyFont="1" applyFill="1" applyBorder="1" applyAlignment="1" applyProtection="1">
      <alignment horizontal="right" vertical="center"/>
      <protection locked="0"/>
    </xf>
    <xf numFmtId="38" fontId="52" fillId="6" borderId="156" xfId="0" applyNumberFormat="1" applyFont="1" applyFill="1" applyBorder="1" applyAlignment="1">
      <alignment horizontal="center" vertical="center" wrapText="1"/>
    </xf>
    <xf numFmtId="38" fontId="52" fillId="6" borderId="156" xfId="0" applyNumberFormat="1" applyFont="1" applyFill="1" applyBorder="1" applyAlignment="1">
      <alignment horizontal="center" vertical="top" wrapText="1"/>
    </xf>
    <xf numFmtId="38" fontId="62" fillId="6" borderId="156"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6" fillId="0" borderId="0" xfId="17"/>
    <xf numFmtId="0" fontId="97" fillId="0" borderId="141" xfId="17" applyFont="1" applyBorder="1" applyAlignment="1">
      <alignment horizontal="left" vertical="top"/>
    </xf>
    <xf numFmtId="0" fontId="124" fillId="0" borderId="142" xfId="17" applyFont="1" applyBorder="1" applyAlignment="1">
      <alignment horizontal="center" vertical="top"/>
    </xf>
    <xf numFmtId="0" fontId="124" fillId="0" borderId="143"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6" fillId="23" borderId="158" xfId="17" applyNumberFormat="1" applyFill="1" applyBorder="1" applyAlignment="1">
      <alignment horizontal="right" vertical="top"/>
    </xf>
    <xf numFmtId="38" fontId="6" fillId="23" borderId="159"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3" fillId="24" borderId="157" xfId="17" applyFont="1" applyFill="1" applyBorder="1" applyAlignment="1">
      <alignment horizontal="center" vertical="center" wrapText="1"/>
    </xf>
    <xf numFmtId="38" fontId="123" fillId="24" borderId="157" xfId="17" applyNumberFormat="1" applyFont="1" applyFill="1" applyBorder="1" applyAlignment="1">
      <alignment horizontal="center" vertical="center" wrapText="1"/>
    </xf>
    <xf numFmtId="3" fontId="53" fillId="24" borderId="132" xfId="0" applyNumberFormat="1" applyFont="1" applyFill="1" applyBorder="1" applyAlignment="1">
      <alignment horizontal="center"/>
    </xf>
    <xf numFmtId="3" fontId="53" fillId="24" borderId="132" xfId="0" applyNumberFormat="1" applyFont="1" applyFill="1" applyBorder="1" applyAlignment="1">
      <alignment horizontal="right"/>
    </xf>
    <xf numFmtId="3" fontId="53" fillId="24" borderId="133" xfId="0" applyNumberFormat="1" applyFont="1" applyFill="1" applyBorder="1" applyAlignment="1">
      <alignment horizontal="center"/>
    </xf>
    <xf numFmtId="3" fontId="63" fillId="24" borderId="126" xfId="0" applyNumberFormat="1" applyFont="1" applyFill="1" applyBorder="1" applyAlignment="1">
      <alignment horizontal="center" vertical="center" wrapText="1"/>
    </xf>
    <xf numFmtId="49" fontId="60" fillId="24" borderId="11" xfId="0" applyNumberFormat="1" applyFont="1" applyFill="1" applyBorder="1" applyAlignment="1">
      <alignment horizontal="center" vertical="center"/>
    </xf>
    <xf numFmtId="38" fontId="52" fillId="24" borderId="13"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21" xfId="1"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38" fontId="53" fillId="24" borderId="19" xfId="0" applyNumberFormat="1" applyFont="1" applyFill="1" applyBorder="1" applyAlignment="1" applyProtection="1">
      <alignment horizontal="right"/>
    </xf>
    <xf numFmtId="38" fontId="53" fillId="24" borderId="20" xfId="0" applyNumberFormat="1" applyFont="1" applyFill="1" applyBorder="1" applyAlignment="1" applyProtection="1">
      <alignment horizontal="right"/>
    </xf>
    <xf numFmtId="38" fontId="53" fillId="24" borderId="21" xfId="0" applyNumberFormat="1" applyFont="1" applyFill="1" applyBorder="1" applyAlignment="1" applyProtection="1">
      <alignment horizontal="right"/>
    </xf>
    <xf numFmtId="38" fontId="53" fillId="24" borderId="14" xfId="0" applyNumberFormat="1" applyFont="1" applyFill="1" applyBorder="1" applyAlignment="1" applyProtection="1">
      <alignment horizontal="right"/>
    </xf>
    <xf numFmtId="0" fontId="55" fillId="24" borderId="31" xfId="0" applyFont="1" applyFill="1" applyBorder="1" applyAlignment="1">
      <alignment horizontal="center" vertical="center"/>
    </xf>
    <xf numFmtId="38" fontId="53" fillId="24" borderId="13" xfId="0" applyNumberFormat="1" applyFont="1" applyFill="1" applyBorder="1" applyAlignment="1" applyProtection="1">
      <alignment horizontal="right"/>
    </xf>
    <xf numFmtId="38" fontId="53" fillId="24" borderId="11" xfId="0" applyNumberFormat="1" applyFont="1" applyFill="1" applyBorder="1" applyAlignment="1" applyProtection="1">
      <alignment horizontal="right"/>
    </xf>
    <xf numFmtId="3" fontId="52" fillId="24" borderId="13" xfId="0" applyNumberFormat="1" applyFont="1" applyFill="1" applyBorder="1" applyAlignment="1" applyProtection="1">
      <alignment horizontal="right" vertical="center"/>
    </xf>
    <xf numFmtId="3" fontId="52" fillId="24" borderId="21" xfId="0" applyNumberFormat="1" applyFont="1" applyFill="1" applyBorder="1" applyAlignment="1" applyProtection="1">
      <alignment horizontal="right" vertical="center"/>
    </xf>
    <xf numFmtId="3" fontId="52" fillId="24"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4" borderId="13" xfId="0" applyNumberFormat="1" applyFont="1" applyFill="1" applyBorder="1" applyAlignment="1" applyProtection="1">
      <alignment horizontal="center" vertical="center"/>
    </xf>
    <xf numFmtId="49" fontId="62" fillId="24" borderId="21" xfId="0" applyNumberFormat="1" applyFont="1" applyFill="1" applyBorder="1" applyAlignment="1" applyProtection="1">
      <alignment horizontal="center" vertical="center"/>
    </xf>
    <xf numFmtId="3" fontId="53" fillId="24" borderId="21" xfId="0" applyNumberFormat="1" applyFont="1" applyFill="1" applyBorder="1" applyAlignment="1" applyProtection="1">
      <alignment horizontal="center"/>
    </xf>
    <xf numFmtId="3" fontId="55" fillId="24" borderId="21" xfId="0" applyNumberFormat="1" applyFont="1" applyFill="1" applyBorder="1" applyAlignment="1" applyProtection="1">
      <alignment horizontal="center"/>
    </xf>
    <xf numFmtId="38" fontId="55" fillId="24" borderId="21" xfId="0" applyNumberFormat="1" applyFont="1" applyFill="1" applyBorder="1" applyAlignment="1" applyProtection="1">
      <alignment horizontal="center"/>
    </xf>
    <xf numFmtId="3" fontId="55" fillId="24" borderId="14" xfId="0" applyNumberFormat="1" applyFont="1" applyFill="1" applyBorder="1" applyAlignment="1" applyProtection="1">
      <alignment horizontal="center"/>
    </xf>
    <xf numFmtId="0" fontId="52" fillId="24" borderId="49" xfId="0" applyFont="1" applyFill="1" applyBorder="1" applyAlignment="1" applyProtection="1">
      <alignment horizontal="center" vertical="center" wrapText="1"/>
    </xf>
    <xf numFmtId="0" fontId="53" fillId="24" borderId="34"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wrapText="1"/>
    </xf>
    <xf numFmtId="0" fontId="55" fillId="24" borderId="31"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8"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6" xfId="0" applyNumberFormat="1" applyFont="1" applyFill="1" applyBorder="1" applyAlignment="1">
      <alignment horizontal="left" vertical="center" wrapText="1"/>
    </xf>
    <xf numFmtId="49" fontId="62" fillId="18" borderId="128"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6"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8" xfId="0" applyFont="1" applyFill="1" applyBorder="1" applyAlignment="1">
      <alignment horizontal="left" vertical="center" wrapText="1"/>
    </xf>
    <xf numFmtId="3" fontId="62" fillId="18" borderId="128" xfId="0" applyNumberFormat="1" applyFont="1" applyFill="1" applyBorder="1" applyAlignment="1">
      <alignment horizontal="left" vertical="center" wrapText="1"/>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4" borderId="13" xfId="0" applyFont="1" applyFill="1" applyBorder="1" applyAlignment="1">
      <alignment horizontal="left" vertical="center"/>
    </xf>
    <xf numFmtId="0" fontId="63" fillId="24" borderId="21" xfId="0" applyFont="1" applyFill="1" applyBorder="1" applyAlignment="1">
      <alignment horizontal="left" vertical="center"/>
    </xf>
    <xf numFmtId="0" fontId="63" fillId="24"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60" xfId="0" applyFont="1" applyBorder="1" applyAlignment="1">
      <alignment horizontal="centerContinuous" vertical="center"/>
    </xf>
    <xf numFmtId="0" fontId="53" fillId="0" borderId="161" xfId="0" applyFont="1" applyBorder="1" applyAlignment="1">
      <alignment horizontal="centerContinuous" vertical="center"/>
    </xf>
    <xf numFmtId="0" fontId="55" fillId="0" borderId="161" xfId="0" applyFont="1" applyBorder="1" applyAlignment="1">
      <alignment horizontal="centerContinuous" vertical="center"/>
    </xf>
    <xf numFmtId="0" fontId="62" fillId="0" borderId="105" xfId="0" applyFont="1" applyBorder="1" applyAlignment="1">
      <alignment horizontal="center"/>
    </xf>
    <xf numFmtId="0" fontId="55" fillId="24" borderId="16" xfId="3" applyFont="1" applyFill="1" applyBorder="1" applyAlignment="1">
      <alignment horizontal="left" vertical="center"/>
    </xf>
    <xf numFmtId="0" fontId="55" fillId="24" borderId="10" xfId="3" applyFont="1" applyFill="1" applyBorder="1" applyAlignment="1">
      <alignment horizontal="left" vertical="center"/>
    </xf>
    <xf numFmtId="0" fontId="55" fillId="24" borderId="19" xfId="3" applyNumberFormat="1" applyFont="1" applyFill="1" applyBorder="1" applyAlignment="1">
      <alignment vertical="center"/>
    </xf>
    <xf numFmtId="0" fontId="55" fillId="24" borderId="20" xfId="3" applyNumberFormat="1" applyFont="1" applyFill="1" applyBorder="1" applyAlignment="1">
      <alignment vertical="center"/>
    </xf>
    <xf numFmtId="0" fontId="55" fillId="24" borderId="11" xfId="3" applyNumberFormat="1" applyFont="1" applyFill="1" applyBorder="1" applyAlignment="1">
      <alignment vertical="center"/>
    </xf>
    <xf numFmtId="0" fontId="5" fillId="0" borderId="0" xfId="17" quotePrefix="1" applyNumberFormat="1" applyFont="1"/>
    <xf numFmtId="0" fontId="125" fillId="21" borderId="158" xfId="17" applyFont="1" applyFill="1" applyBorder="1" applyAlignment="1" applyProtection="1">
      <alignment horizontal="left" vertical="top" wrapText="1"/>
    </xf>
    <xf numFmtId="49" fontId="125" fillId="21" borderId="158" xfId="17" applyNumberFormat="1" applyFont="1" applyFill="1" applyBorder="1" applyAlignment="1" applyProtection="1">
      <alignment horizontal="center" vertical="top"/>
    </xf>
    <xf numFmtId="0" fontId="125" fillId="21" borderId="158" xfId="17" applyFont="1" applyFill="1" applyBorder="1" applyAlignment="1" applyProtection="1">
      <alignment vertical="top"/>
    </xf>
    <xf numFmtId="38" fontId="125" fillId="21" borderId="158" xfId="17" applyNumberFormat="1" applyFont="1" applyFill="1" applyBorder="1" applyAlignment="1" applyProtection="1">
      <alignment horizontal="right" vertical="top"/>
    </xf>
    <xf numFmtId="38" fontId="125" fillId="21" borderId="158" xfId="17" applyNumberFormat="1" applyFont="1" applyFill="1" applyBorder="1" applyAlignment="1" applyProtection="1">
      <alignment vertical="top"/>
    </xf>
    <xf numFmtId="0" fontId="6" fillId="0" borderId="158" xfId="17" applyBorder="1" applyAlignment="1" applyProtection="1">
      <alignment horizontal="left" vertical="top" wrapText="1"/>
      <protection locked="0"/>
    </xf>
    <xf numFmtId="0" fontId="6" fillId="0" borderId="158" xfId="17" applyBorder="1" applyAlignment="1" applyProtection="1">
      <alignment vertical="top"/>
      <protection locked="0"/>
    </xf>
    <xf numFmtId="0" fontId="5" fillId="0" borderId="158" xfId="17" applyFont="1" applyBorder="1" applyAlignment="1" applyProtection="1">
      <alignment horizontal="left" vertical="top" wrapText="1"/>
      <protection locked="0"/>
    </xf>
    <xf numFmtId="0" fontId="5" fillId="0" borderId="158"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2" fillId="0" borderId="0" xfId="2" applyNumberFormat="1" applyAlignment="1" applyProtection="1">
      <alignment vertical="center"/>
    </xf>
    <xf numFmtId="0" fontId="62" fillId="0" borderId="5" xfId="3" applyFont="1" applyFill="1" applyBorder="1" applyAlignment="1" applyProtection="1"/>
    <xf numFmtId="49" fontId="6" fillId="0" borderId="158" xfId="17" applyNumberFormat="1" applyBorder="1" applyAlignment="1" applyProtection="1">
      <alignment horizontal="center" vertical="center"/>
      <protection locked="0"/>
    </xf>
    <xf numFmtId="49" fontId="4" fillId="0" borderId="158"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49" fontId="62" fillId="17" borderId="36" xfId="0" applyNumberFormat="1" applyFont="1" applyFill="1" applyBorder="1" applyAlignment="1">
      <alignment horizontal="center" vertical="center"/>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0" fontId="62" fillId="17" borderId="27" xfId="0" applyFont="1" applyFill="1" applyBorder="1" applyAlignment="1">
      <alignment horizontal="center" vertical="center"/>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0" fontId="62" fillId="17" borderId="30" xfId="0" applyFont="1" applyFill="1" applyBorder="1" applyAlignment="1" applyProtection="1">
      <alignment horizontal="center" vertical="center"/>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128"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8"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6" fillId="17" borderId="158" xfId="17" applyNumberFormat="1" applyFill="1" applyBorder="1" applyAlignment="1" applyProtection="1">
      <alignment horizontal="right" vertical="top"/>
    </xf>
    <xf numFmtId="38" fontId="6" fillId="17" borderId="158" xfId="17" applyNumberFormat="1" applyFill="1" applyBorder="1" applyAlignment="1" applyProtection="1">
      <alignment vertical="top"/>
    </xf>
    <xf numFmtId="38" fontId="6" fillId="17" borderId="159" xfId="17" applyNumberFormat="1" applyFill="1" applyBorder="1" applyAlignment="1" applyProtection="1">
      <alignment horizontal="right" vertical="top"/>
    </xf>
    <xf numFmtId="38" fontId="6" fillId="17" borderId="159" xfId="17" applyNumberFormat="1" applyFill="1" applyBorder="1" applyAlignment="1" applyProtection="1">
      <alignment vertical="top"/>
    </xf>
    <xf numFmtId="0" fontId="6" fillId="17" borderId="159" xfId="17" applyFill="1" applyBorder="1" applyAlignment="1" applyProtection="1">
      <alignment horizontal="left" vertical="top" wrapText="1"/>
    </xf>
    <xf numFmtId="49" fontId="6" fillId="17" borderId="159" xfId="17" applyNumberFormat="1" applyFill="1" applyBorder="1" applyAlignment="1" applyProtection="1">
      <alignment vertical="top"/>
    </xf>
    <xf numFmtId="0" fontId="6" fillId="17" borderId="159" xfId="17" applyFill="1" applyBorder="1" applyAlignment="1" applyProtection="1">
      <alignment vertical="top"/>
    </xf>
    <xf numFmtId="0" fontId="53" fillId="17" borderId="127" xfId="0" applyFont="1" applyFill="1" applyBorder="1"/>
    <xf numFmtId="37" fontId="53" fillId="17" borderId="127" xfId="0" applyNumberFormat="1" applyFont="1" applyFill="1" applyBorder="1"/>
    <xf numFmtId="37" fontId="53" fillId="17" borderId="129"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 fontId="60"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49" fontId="3" fillId="0" borderId="158"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2" xfId="3" applyFont="1" applyBorder="1" applyProtection="1"/>
    <xf numFmtId="49" fontId="60" fillId="0" borderId="14" xfId="0" applyNumberFormat="1" applyFont="1" applyFill="1" applyBorder="1" applyAlignment="1" applyProtection="1">
      <alignment horizontal="center" vertical="center"/>
    </xf>
    <xf numFmtId="38" fontId="6" fillId="0" borderId="158" xfId="17" applyNumberFormat="1" applyBorder="1" applyAlignment="1" applyProtection="1">
      <alignment horizontal="right" vertical="top"/>
      <protection locked="0"/>
    </xf>
    <xf numFmtId="49" fontId="4" fillId="0" borderId="158" xfId="17" applyNumberFormat="1" applyFont="1" applyBorder="1" applyAlignment="1" applyProtection="1">
      <alignment horizontal="center"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4" borderId="0" xfId="18" applyFont="1" applyFill="1" applyAlignment="1">
      <alignment horizontal="centerContinuous" vertical="center"/>
    </xf>
    <xf numFmtId="0" fontId="98" fillId="24" borderId="0" xfId="18" applyFont="1" applyFill="1" applyAlignment="1">
      <alignment horizontal="centerContinuous"/>
    </xf>
    <xf numFmtId="0" fontId="86" fillId="0" borderId="138"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3" fillId="0" borderId="0" xfId="18" applyFont="1" applyAlignment="1">
      <alignment wrapText="1"/>
    </xf>
    <xf numFmtId="0" fontId="130" fillId="0" borderId="163"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5"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60" xfId="18" applyFont="1" applyBorder="1" applyAlignment="1">
      <alignment horizontal="left" vertical="center" wrapText="1"/>
    </xf>
    <xf numFmtId="0" fontId="102" fillId="0" borderId="161" xfId="18" applyFont="1" applyBorder="1" applyAlignment="1">
      <alignment horizontal="left" vertical="center" wrapText="1"/>
    </xf>
    <xf numFmtId="49" fontId="102" fillId="18"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3"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3" fillId="0" borderId="0" xfId="18" applyFont="1"/>
    <xf numFmtId="0" fontId="46" fillId="0" borderId="141" xfId="18" applyFont="1" applyBorder="1" applyAlignment="1">
      <alignment vertical="top"/>
    </xf>
    <xf numFmtId="0" fontId="46" fillId="0" borderId="142" xfId="18" applyFont="1" applyBorder="1" applyAlignment="1">
      <alignment vertical="top"/>
    </xf>
    <xf numFmtId="0" fontId="47" fillId="16" borderId="76" xfId="18" applyFont="1" applyFill="1" applyBorder="1" applyAlignment="1">
      <alignment vertical="top"/>
    </xf>
    <xf numFmtId="0" fontId="46" fillId="0" borderId="141" xfId="18" applyFont="1" applyBorder="1" applyAlignment="1">
      <alignment vertical="top" wrapText="1"/>
    </xf>
    <xf numFmtId="0" fontId="46" fillId="0" borderId="142"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4" borderId="0" xfId="18" applyFont="1" applyFill="1" applyAlignment="1">
      <alignment horizontal="centerContinuous" vertical="center"/>
    </xf>
    <xf numFmtId="0" fontId="102" fillId="24" borderId="139" xfId="18" applyFont="1" applyFill="1" applyBorder="1" applyAlignment="1">
      <alignment horizontal="center" vertical="center" wrapText="1"/>
    </xf>
    <xf numFmtId="0" fontId="102" fillId="24" borderId="164" xfId="18" applyFont="1" applyFill="1" applyBorder="1" applyAlignment="1">
      <alignment horizontal="center" vertical="center" wrapText="1"/>
    </xf>
    <xf numFmtId="0" fontId="102" fillId="18" borderId="140" xfId="18" applyFont="1" applyFill="1" applyBorder="1" applyAlignment="1">
      <alignment horizontal="center" vertical="center" wrapText="1"/>
    </xf>
    <xf numFmtId="49" fontId="102" fillId="18" borderId="107" xfId="18" applyNumberFormat="1" applyFont="1" applyFill="1" applyBorder="1" applyAlignment="1">
      <alignment horizontal="center" vertical="center" wrapText="1"/>
    </xf>
    <xf numFmtId="0" fontId="47" fillId="18" borderId="108" xfId="18" applyFont="1" applyFill="1" applyBorder="1" applyAlignment="1">
      <alignment horizontal="center"/>
    </xf>
    <xf numFmtId="0" fontId="100" fillId="0" borderId="140" xfId="18" applyFont="1" applyFill="1" applyBorder="1" applyAlignment="1" applyProtection="1">
      <alignment horizontal="right"/>
    </xf>
    <xf numFmtId="0" fontId="63" fillId="24"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8"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8"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2"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0" fontId="10" fillId="0" borderId="12" xfId="12" applyNumberFormat="1" applyFont="1" applyBorder="1" applyAlignment="1" applyProtection="1">
      <alignment horizontal="left" vertical="center"/>
    </xf>
    <xf numFmtId="0" fontId="9" fillId="0" borderId="10" xfId="12" applyNumberFormat="1" applyFont="1" applyBorder="1" applyAlignment="1" applyProtection="1">
      <alignment horizontal="left" vertical="center"/>
    </xf>
    <xf numFmtId="0" fontId="9" fillId="0" borderId="16" xfId="12" applyNumberFormat="1" applyFont="1" applyBorder="1" applyAlignment="1" applyProtection="1">
      <alignment horizontal="left" vertical="center"/>
    </xf>
    <xf numFmtId="0" fontId="9" fillId="0" borderId="16" xfId="12" applyNumberFormat="1" applyFont="1" applyFill="1" applyBorder="1" applyAlignment="1" applyProtection="1">
      <alignment vertical="center"/>
    </xf>
    <xf numFmtId="38" fontId="53" fillId="0" borderId="0" xfId="0" applyNumberFormat="1" applyFont="1" applyFill="1" applyBorder="1" applyAlignment="1" applyProtection="1">
      <alignment horizontal="right"/>
      <protection locked="0"/>
    </xf>
    <xf numFmtId="38" fontId="53" fillId="0" borderId="0" xfId="8" applyNumberFormat="1" applyFont="1" applyFill="1" applyBorder="1" applyAlignment="1" applyProtection="1">
      <alignment horizontal="right"/>
      <protection locked="0"/>
    </xf>
    <xf numFmtId="38" fontId="53" fillId="0" borderId="0" xfId="0" applyNumberFormat="1" applyFont="1" applyFill="1" applyBorder="1" applyAlignment="1">
      <alignment horizontal="right"/>
    </xf>
    <xf numFmtId="0" fontId="55" fillId="0" borderId="0" xfId="0" applyFont="1" applyFill="1" applyBorder="1" applyAlignment="1">
      <alignment vertical="center"/>
    </xf>
    <xf numFmtId="38" fontId="53" fillId="0" borderId="0" xfId="0" applyNumberFormat="1" applyFont="1" applyFill="1" applyBorder="1" applyAlignment="1" applyProtection="1">
      <alignment horizontal="right"/>
    </xf>
    <xf numFmtId="38" fontId="53" fillId="0" borderId="0" xfId="8" applyNumberFormat="1" applyFont="1" applyFill="1" applyBorder="1" applyAlignment="1" applyProtection="1">
      <alignment horizontal="right"/>
    </xf>
    <xf numFmtId="38" fontId="53" fillId="0" borderId="0" xfId="6" applyNumberFormat="1" applyFont="1" applyFill="1" applyBorder="1" applyProtection="1">
      <protection locked="0"/>
    </xf>
    <xf numFmtId="38" fontId="53" fillId="0" borderId="14" xfId="0" applyNumberFormat="1" applyFont="1" applyBorder="1" applyAlignment="1" applyProtection="1">
      <alignment horizontal="right"/>
      <protection locked="0"/>
    </xf>
    <xf numFmtId="38" fontId="53" fillId="0" borderId="3" xfId="0" applyNumberFormat="1" applyFont="1" applyBorder="1" applyAlignment="1" applyProtection="1">
      <alignment horizontal="right"/>
      <protection locked="0"/>
    </xf>
    <xf numFmtId="38" fontId="53" fillId="0" borderId="3" xfId="0" applyNumberFormat="1" applyFont="1" applyFill="1" applyBorder="1" applyAlignment="1" applyProtection="1">
      <alignment horizontal="right"/>
      <protection locked="0"/>
    </xf>
    <xf numFmtId="38" fontId="53" fillId="0" borderId="14" xfId="0" applyNumberFormat="1" applyFont="1" applyFill="1" applyBorder="1" applyAlignment="1" applyProtection="1">
      <alignment horizontal="right"/>
      <protection locked="0"/>
    </xf>
    <xf numFmtId="38" fontId="53" fillId="0" borderId="128"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0" borderId="128"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xf>
    <xf numFmtId="38" fontId="53" fillId="0" borderId="166" xfId="0" applyNumberFormat="1" applyFont="1" applyFill="1" applyBorder="1" applyAlignment="1" applyProtection="1">
      <alignment horizontal="right"/>
      <protection locked="0"/>
    </xf>
    <xf numFmtId="38" fontId="53" fillId="0" borderId="167" xfId="0" applyNumberFormat="1" applyFont="1" applyFill="1" applyBorder="1" applyAlignment="1" applyProtection="1">
      <alignment horizontal="right"/>
      <protection locked="0"/>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38" fontId="53" fillId="0" borderId="26" xfId="0" applyNumberFormat="1" applyFont="1" applyBorder="1" applyAlignment="1" applyProtection="1">
      <alignment horizontal="right"/>
      <protection locked="0"/>
    </xf>
    <xf numFmtId="38" fontId="53" fillId="7" borderId="26" xfId="0" applyNumberFormat="1" applyFont="1" applyFill="1" applyBorder="1" applyAlignment="1" applyProtection="1">
      <alignment horizontal="right"/>
    </xf>
    <xf numFmtId="38" fontId="53" fillId="7" borderId="3" xfId="0" applyNumberFormat="1" applyFont="1" applyFill="1" applyBorder="1" applyAlignment="1" applyProtection="1">
      <alignment horizontal="right"/>
    </xf>
    <xf numFmtId="38" fontId="53" fillId="6" borderId="128" xfId="0" applyNumberFormat="1" applyFont="1" applyFill="1" applyBorder="1" applyAlignment="1" applyProtection="1">
      <alignment horizontal="right"/>
    </xf>
    <xf numFmtId="38" fontId="53" fillId="13" borderId="49" xfId="0" applyNumberFormat="1" applyFont="1" applyFill="1" applyBorder="1" applyAlignment="1" applyProtection="1">
      <alignment horizontal="right"/>
    </xf>
    <xf numFmtId="38" fontId="53" fillId="13" borderId="34" xfId="0" applyNumberFormat="1" applyFont="1" applyFill="1" applyBorder="1" applyAlignment="1" applyProtection="1">
      <alignment horizontal="right"/>
    </xf>
    <xf numFmtId="38" fontId="53" fillId="13" borderId="21" xfId="0" applyNumberFormat="1" applyFont="1" applyFill="1" applyBorder="1" applyAlignment="1" applyProtection="1">
      <alignment horizontal="right"/>
    </xf>
    <xf numFmtId="38" fontId="53" fillId="13" borderId="127" xfId="0" applyNumberFormat="1" applyFont="1" applyFill="1" applyBorder="1" applyAlignment="1" applyProtection="1">
      <alignment horizontal="right"/>
    </xf>
    <xf numFmtId="38" fontId="53" fillId="0" borderId="128" xfId="0" applyNumberFormat="1" applyFont="1" applyBorder="1" applyAlignment="1" applyProtection="1">
      <alignment horizontal="right"/>
    </xf>
    <xf numFmtId="38" fontId="53" fillId="7" borderId="27" xfId="0" applyNumberFormat="1" applyFont="1" applyFill="1" applyBorder="1" applyAlignment="1" applyProtection="1">
      <alignment horizontal="right"/>
    </xf>
    <xf numFmtId="38" fontId="55" fillId="6" borderId="26" xfId="0" applyNumberFormat="1" applyFont="1" applyFill="1" applyBorder="1" applyAlignment="1">
      <alignment horizontal="right"/>
    </xf>
    <xf numFmtId="38" fontId="53" fillId="6" borderId="3" xfId="0" applyNumberFormat="1" applyFont="1" applyFill="1" applyBorder="1" applyAlignment="1">
      <alignment horizontal="right"/>
    </xf>
    <xf numFmtId="38" fontId="53" fillId="2" borderId="27" xfId="0" applyNumberFormat="1" applyFont="1" applyFill="1" applyBorder="1" applyAlignment="1" applyProtection="1">
      <alignment horizontal="right"/>
    </xf>
    <xf numFmtId="38" fontId="53" fillId="2" borderId="128" xfId="0" applyNumberFormat="1" applyFont="1" applyFill="1" applyBorder="1" applyAlignment="1" applyProtection="1">
      <alignment horizontal="right"/>
    </xf>
    <xf numFmtId="38" fontId="53" fillId="2" borderId="2" xfId="0" applyNumberFormat="1" applyFont="1" applyFill="1" applyBorder="1" applyAlignment="1" applyProtection="1">
      <alignment horizontal="right"/>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8" fontId="53" fillId="0" borderId="126" xfId="0" applyNumberFormat="1" applyFont="1" applyBorder="1" applyAlignment="1" applyProtection="1">
      <alignment horizontal="right"/>
      <protection locked="0"/>
    </xf>
    <xf numFmtId="38" fontId="53" fillId="0" borderId="127" xfId="0" applyNumberFormat="1" applyFont="1" applyBorder="1" applyAlignment="1" applyProtection="1">
      <alignment horizontal="right"/>
      <protection locked="0"/>
    </xf>
    <xf numFmtId="38" fontId="53" fillId="13" borderId="31" xfId="0" applyNumberFormat="1" applyFont="1" applyFill="1" applyBorder="1" applyAlignment="1" applyProtection="1">
      <alignment horizontal="right"/>
    </xf>
    <xf numFmtId="38" fontId="53" fillId="3" borderId="127" xfId="0" applyNumberFormat="1" applyFont="1" applyFill="1" applyBorder="1" applyAlignment="1" applyProtection="1">
      <alignment horizontal="right"/>
    </xf>
    <xf numFmtId="38" fontId="53" fillId="3" borderId="128" xfId="0" applyNumberFormat="1" applyFont="1" applyFill="1" applyBorder="1" applyAlignment="1" applyProtection="1">
      <alignment horizontal="right"/>
    </xf>
    <xf numFmtId="38" fontId="53" fillId="7" borderId="2" xfId="0" applyNumberFormat="1" applyFont="1" applyFill="1" applyBorder="1" applyAlignment="1" applyProtection="1">
      <alignment horizontal="right"/>
    </xf>
    <xf numFmtId="38" fontId="53" fillId="2" borderId="18" xfId="0" applyNumberFormat="1" applyFont="1" applyFill="1" applyBorder="1" applyAlignment="1" applyProtection="1">
      <alignment horizontal="right"/>
    </xf>
    <xf numFmtId="38" fontId="53" fillId="3" borderId="126"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38" fontId="53" fillId="7" borderId="0" xfId="0" applyNumberFormat="1" applyFont="1" applyFill="1" applyAlignment="1" applyProtection="1">
      <alignment horizontal="right"/>
    </xf>
    <xf numFmtId="38" fontId="53" fillId="2" borderId="28" xfId="0" applyNumberFormat="1" applyFont="1" applyFill="1" applyBorder="1" applyAlignment="1" applyProtection="1">
      <alignment horizontal="right"/>
    </xf>
    <xf numFmtId="38" fontId="53" fillId="6" borderId="2" xfId="0" applyNumberFormat="1" applyFont="1" applyFill="1" applyBorder="1" applyAlignment="1" applyProtection="1">
      <alignment horizontal="right"/>
    </xf>
    <xf numFmtId="38" fontId="53" fillId="7" borderId="32" xfId="0" applyNumberFormat="1" applyFont="1" applyFill="1" applyBorder="1" applyAlignment="1" applyProtection="1">
      <alignment horizontal="right"/>
    </xf>
    <xf numFmtId="38" fontId="53" fillId="6" borderId="28" xfId="0" applyNumberFormat="1" applyFont="1" applyFill="1" applyBorder="1" applyAlignment="1" applyProtection="1">
      <alignment horizontal="right"/>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32" xfId="0" applyNumberFormat="1" applyFont="1" applyBorder="1" applyAlignment="1" applyProtection="1">
      <alignment horizontal="right"/>
      <protection locked="0"/>
    </xf>
    <xf numFmtId="38" fontId="53" fillId="2" borderId="32" xfId="0" applyNumberFormat="1" applyFont="1" applyFill="1" applyBorder="1" applyAlignment="1" applyProtection="1">
      <alignment horizontal="right"/>
    </xf>
    <xf numFmtId="38" fontId="53" fillId="2" borderId="33" xfId="0" applyNumberFormat="1" applyFont="1" applyFill="1" applyBorder="1" applyAlignment="1" applyProtection="1">
      <alignment horizontal="right"/>
    </xf>
    <xf numFmtId="38" fontId="53" fillId="0" borderId="29" xfId="0" applyNumberFormat="1" applyFont="1" applyBorder="1" applyAlignment="1" applyProtection="1">
      <alignment horizontal="right"/>
      <protection locked="0"/>
    </xf>
    <xf numFmtId="38" fontId="53" fillId="0" borderId="0" xfId="0" applyNumberFormat="1" applyFont="1" applyAlignment="1" applyProtection="1">
      <alignment horizontal="right"/>
      <protection locked="0"/>
    </xf>
    <xf numFmtId="38" fontId="53" fillId="0" borderId="13" xfId="0" applyNumberFormat="1" applyFont="1" applyBorder="1" applyAlignment="1" applyProtection="1">
      <alignment horizontal="right"/>
      <protection locked="0"/>
    </xf>
    <xf numFmtId="38" fontId="53" fillId="2" borderId="36" xfId="0" applyNumberFormat="1" applyFont="1" applyFill="1" applyBorder="1" applyAlignment="1" applyProtection="1">
      <alignment horizontal="right"/>
    </xf>
    <xf numFmtId="38" fontId="53" fillId="3" borderId="17" xfId="0" applyNumberFormat="1" applyFont="1" applyFill="1" applyBorder="1" applyAlignment="1" applyProtection="1">
      <alignment horizontal="right"/>
    </xf>
    <xf numFmtId="37" fontId="53" fillId="2" borderId="36" xfId="0" applyNumberFormat="1" applyFont="1" applyFill="1" applyBorder="1" applyAlignment="1" applyProtection="1">
      <alignment horizontal="right"/>
    </xf>
    <xf numFmtId="37" fontId="53" fillId="2" borderId="2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38" fontId="53" fillId="0" borderId="126"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38" fontId="53" fillId="2" borderId="37" xfId="0" applyNumberFormat="1" applyFont="1" applyFill="1" applyBorder="1" applyAlignment="1" applyProtection="1">
      <alignment horizontal="right"/>
    </xf>
    <xf numFmtId="38" fontId="53" fillId="2" borderId="12" xfId="0" applyNumberFormat="1" applyFont="1" applyFill="1" applyBorder="1" applyAlignment="1" applyProtection="1">
      <alignment horizontal="right"/>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38" fontId="53" fillId="2" borderId="3"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38" fontId="53" fillId="0" borderId="32" xfId="0" applyNumberFormat="1" applyFont="1" applyFill="1" applyBorder="1" applyAlignment="1" applyProtection="1">
      <alignment horizontal="right"/>
      <protection locked="0"/>
    </xf>
    <xf numFmtId="38" fontId="53" fillId="0" borderId="37"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38" fontId="53" fillId="2" borderId="55" xfId="0" applyNumberFormat="1" applyFont="1" applyFill="1" applyBorder="1" applyAlignment="1" applyProtection="1">
      <alignment horizontal="right"/>
    </xf>
    <xf numFmtId="38" fontId="53" fillId="3" borderId="31" xfId="0" applyNumberFormat="1" applyFont="1" applyFill="1" applyBorder="1" applyAlignment="1" applyProtection="1">
      <alignment horizontal="right"/>
    </xf>
    <xf numFmtId="38" fontId="53" fillId="3" borderId="39" xfId="0" applyNumberFormat="1" applyFont="1" applyFill="1" applyBorder="1" applyAlignment="1" applyProtection="1">
      <alignment horizontal="right"/>
    </xf>
    <xf numFmtId="38" fontId="53" fillId="6" borderId="2" xfId="0" applyNumberFormat="1" applyFont="1" applyFill="1" applyBorder="1" applyAlignment="1" applyProtection="1">
      <alignment horizontal="right" vertical="center"/>
    </xf>
    <xf numFmtId="38" fontId="53" fillId="7" borderId="12" xfId="0" applyNumberFormat="1" applyFont="1" applyFill="1" applyBorder="1" applyAlignment="1" applyProtection="1">
      <alignment horizontal="right"/>
    </xf>
    <xf numFmtId="38" fontId="53" fillId="7" borderId="36" xfId="0" applyNumberFormat="1" applyFont="1" applyFill="1" applyBorder="1" applyAlignment="1" applyProtection="1">
      <alignment horizontal="right"/>
    </xf>
    <xf numFmtId="38" fontId="53" fillId="0" borderId="125" xfId="0" applyNumberFormat="1" applyFont="1" applyFill="1" applyBorder="1" applyAlignment="1" applyProtection="1">
      <alignment horizontal="right"/>
      <protection locked="0"/>
    </xf>
    <xf numFmtId="38" fontId="53" fillId="0" borderId="124" xfId="0" applyNumberFormat="1" applyFont="1" applyFill="1" applyBorder="1" applyAlignment="1" applyProtection="1">
      <alignment horizontal="right"/>
      <protection locked="0"/>
    </xf>
    <xf numFmtId="38" fontId="53" fillId="0" borderId="112"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38" fontId="53" fillId="2" borderId="27" xfId="0" applyNumberFormat="1" applyFont="1" applyFill="1" applyBorder="1" applyAlignment="1">
      <alignment horizontal="right"/>
    </xf>
    <xf numFmtId="38" fontId="53" fillId="3" borderId="28" xfId="0" applyNumberFormat="1" applyFont="1" applyFill="1" applyBorder="1" applyAlignment="1">
      <alignment horizontal="right"/>
    </xf>
    <xf numFmtId="38" fontId="53" fillId="3" borderId="128" xfId="0" applyNumberFormat="1" applyFont="1" applyFill="1" applyBorder="1" applyAlignment="1">
      <alignment horizontal="right"/>
    </xf>
    <xf numFmtId="38" fontId="53" fillId="3" borderId="29" xfId="0" applyNumberFormat="1" applyFont="1" applyFill="1" applyBorder="1" applyAlignment="1">
      <alignment horizontal="right"/>
    </xf>
    <xf numFmtId="38" fontId="53" fillId="2" borderId="128" xfId="0" applyNumberFormat="1" applyFont="1" applyFill="1" applyBorder="1" applyAlignment="1">
      <alignment horizontal="right"/>
    </xf>
    <xf numFmtId="38" fontId="53" fillId="2" borderId="30" xfId="0" applyNumberFormat="1" applyFont="1" applyFill="1" applyBorder="1" applyAlignment="1">
      <alignment horizontal="right"/>
    </xf>
    <xf numFmtId="38" fontId="53" fillId="3" borderId="31" xfId="0" applyNumberFormat="1" applyFont="1" applyFill="1" applyBorder="1" applyAlignment="1">
      <alignment horizontal="right"/>
    </xf>
    <xf numFmtId="38" fontId="53" fillId="2" borderId="32" xfId="0" applyNumberFormat="1" applyFont="1" applyFill="1" applyBorder="1" applyAlignment="1">
      <alignment horizontal="right"/>
    </xf>
    <xf numFmtId="38" fontId="53" fillId="5" borderId="128" xfId="0" applyNumberFormat="1" applyFont="1" applyFill="1" applyBorder="1" applyAlignment="1" applyProtection="1">
      <alignment horizontal="right"/>
      <protection locked="0"/>
    </xf>
    <xf numFmtId="38" fontId="53" fillId="6" borderId="28" xfId="0" applyNumberFormat="1" applyFont="1" applyFill="1" applyBorder="1" applyAlignment="1">
      <alignment horizontal="right"/>
    </xf>
    <xf numFmtId="38" fontId="53" fillId="7" borderId="32" xfId="0" applyNumberFormat="1" applyFont="1" applyFill="1" applyBorder="1" applyAlignment="1">
      <alignment horizontal="right"/>
    </xf>
    <xf numFmtId="38" fontId="53" fillId="6" borderId="26" xfId="0" applyNumberFormat="1" applyFont="1" applyFill="1" applyBorder="1" applyAlignment="1">
      <alignment horizontal="right"/>
    </xf>
    <xf numFmtId="38" fontId="53" fillId="7" borderId="27" xfId="0" applyNumberFormat="1" applyFont="1" applyFill="1" applyBorder="1" applyAlignment="1">
      <alignment horizontal="right"/>
    </xf>
    <xf numFmtId="38" fontId="53" fillId="6" borderId="128" xfId="0" applyNumberFormat="1" applyFont="1" applyFill="1" applyBorder="1" applyAlignment="1">
      <alignment horizontal="right"/>
    </xf>
    <xf numFmtId="38" fontId="53" fillId="7" borderId="33" xfId="0" applyNumberFormat="1" applyFont="1" applyFill="1" applyBorder="1" applyAlignment="1">
      <alignment horizontal="right"/>
    </xf>
    <xf numFmtId="38" fontId="53" fillId="7" borderId="26" xfId="0" applyNumberFormat="1" applyFont="1" applyFill="1" applyBorder="1" applyAlignment="1">
      <alignment horizontal="right"/>
    </xf>
    <xf numFmtId="38" fontId="53" fillId="2" borderId="28" xfId="0" applyNumberFormat="1" applyFont="1" applyFill="1" applyBorder="1" applyAlignment="1">
      <alignment horizontal="right"/>
    </xf>
    <xf numFmtId="38" fontId="53" fillId="0" borderId="21" xfId="0" applyNumberFormat="1" applyFont="1" applyFill="1" applyBorder="1" applyAlignment="1">
      <alignment horizontal="right"/>
    </xf>
    <xf numFmtId="38" fontId="53" fillId="27" borderId="126" xfId="0" applyNumberFormat="1" applyFont="1" applyFill="1" applyBorder="1" applyAlignment="1">
      <alignment horizontal="right"/>
    </xf>
    <xf numFmtId="38" fontId="53" fillId="27" borderId="129" xfId="0" applyNumberFormat="1" applyFont="1" applyFill="1" applyBorder="1" applyAlignment="1">
      <alignment horizontal="right"/>
    </xf>
    <xf numFmtId="38" fontId="53" fillId="27" borderId="127" xfId="0" applyNumberFormat="1" applyFont="1" applyFill="1" applyBorder="1" applyAlignment="1">
      <alignment horizontal="right"/>
    </xf>
    <xf numFmtId="38" fontId="53" fillId="3" borderId="2" xfId="0" applyNumberFormat="1" applyFont="1" applyFill="1" applyBorder="1" applyAlignment="1">
      <alignment horizontal="right"/>
    </xf>
    <xf numFmtId="38" fontId="53" fillId="2" borderId="29" xfId="0" applyNumberFormat="1" applyFont="1" applyFill="1" applyBorder="1" applyAlignment="1">
      <alignment horizontal="right"/>
    </xf>
    <xf numFmtId="2" fontId="53" fillId="0" borderId="128" xfId="0" applyNumberFormat="1" applyFont="1" applyFill="1" applyBorder="1" applyAlignment="1" applyProtection="1">
      <alignment horizontal="right"/>
      <protection locked="0"/>
    </xf>
    <xf numFmtId="38" fontId="53" fillId="2" borderId="33" xfId="0" applyNumberFormat="1" applyFont="1" applyFill="1" applyBorder="1" applyAlignment="1">
      <alignment horizontal="right"/>
    </xf>
    <xf numFmtId="38" fontId="53" fillId="6" borderId="29" xfId="0" applyNumberFormat="1" applyFont="1" applyFill="1" applyBorder="1" applyAlignment="1">
      <alignment horizontal="right"/>
    </xf>
    <xf numFmtId="38" fontId="53" fillId="2" borderId="26" xfId="0" applyNumberFormat="1" applyFont="1" applyFill="1" applyBorder="1" applyAlignment="1">
      <alignment horizontal="right"/>
    </xf>
    <xf numFmtId="0" fontId="53" fillId="3" borderId="128" xfId="0" applyNumberFormat="1" applyFont="1" applyFill="1" applyBorder="1" applyAlignment="1" applyProtection="1">
      <alignment horizontal="right"/>
    </xf>
    <xf numFmtId="0" fontId="53" fillId="0" borderId="2" xfId="0" applyNumberFormat="1" applyFont="1" applyFill="1" applyBorder="1" applyAlignment="1" applyProtection="1">
      <alignment horizontal="right"/>
      <protection locked="0"/>
    </xf>
    <xf numFmtId="38" fontId="53" fillId="0" borderId="2" xfId="0" applyNumberFormat="1" applyFont="1" applyFill="1" applyBorder="1" applyAlignment="1">
      <alignment horizontal="right"/>
    </xf>
    <xf numFmtId="0" fontId="53" fillId="0" borderId="2" xfId="0" applyNumberFormat="1" applyFont="1" applyBorder="1" applyAlignment="1" applyProtection="1">
      <alignment horizontal="right"/>
      <protection locked="0"/>
    </xf>
    <xf numFmtId="0" fontId="53" fillId="2" borderId="32" xfId="0" applyNumberFormat="1" applyFont="1" applyFill="1" applyBorder="1" applyAlignment="1">
      <alignment horizontal="right"/>
    </xf>
    <xf numFmtId="0" fontId="53" fillId="0" borderId="33" xfId="0" applyNumberFormat="1" applyFont="1" applyBorder="1" applyAlignment="1" applyProtection="1">
      <alignment horizontal="right"/>
      <protection locked="0"/>
    </xf>
    <xf numFmtId="0" fontId="53" fillId="0" borderId="33" xfId="0" applyNumberFormat="1" applyFont="1" applyFill="1" applyBorder="1" applyAlignment="1" applyProtection="1">
      <alignment horizontal="right"/>
      <protection locked="0"/>
    </xf>
    <xf numFmtId="0" fontId="53" fillId="3" borderId="26" xfId="0" applyNumberFormat="1" applyFont="1" applyFill="1" applyBorder="1" applyAlignment="1">
      <alignment horizontal="right"/>
    </xf>
    <xf numFmtId="38" fontId="53" fillId="7" borderId="29" xfId="0" applyNumberFormat="1" applyFont="1" applyFill="1" applyBorder="1" applyAlignment="1">
      <alignment horizontal="right"/>
    </xf>
    <xf numFmtId="38" fontId="53" fillId="7" borderId="2" xfId="0" applyNumberFormat="1" applyFont="1" applyFill="1" applyBorder="1" applyAlignment="1">
      <alignment horizontal="right"/>
    </xf>
    <xf numFmtId="0" fontId="53" fillId="3" borderId="128" xfId="0" applyNumberFormat="1" applyFont="1" applyFill="1" applyBorder="1" applyAlignment="1">
      <alignment horizontal="right"/>
    </xf>
    <xf numFmtId="38" fontId="53" fillId="2" borderId="28" xfId="0" quotePrefix="1" applyNumberFormat="1" applyFont="1" applyFill="1" applyBorder="1" applyAlignment="1">
      <alignment horizontal="right"/>
    </xf>
    <xf numFmtId="38" fontId="53" fillId="3" borderId="3" xfId="0" applyNumberFormat="1" applyFont="1" applyFill="1" applyBorder="1" applyAlignment="1">
      <alignment horizontal="right"/>
    </xf>
    <xf numFmtId="38" fontId="53" fillId="0" borderId="129" xfId="0" applyNumberFormat="1" applyFont="1" applyFill="1" applyBorder="1" applyAlignment="1">
      <alignment horizontal="right"/>
    </xf>
    <xf numFmtId="38" fontId="53" fillId="27" borderId="13" xfId="0" applyNumberFormat="1" applyFont="1" applyFill="1" applyBorder="1" applyAlignment="1">
      <alignment horizontal="right"/>
    </xf>
    <xf numFmtId="38" fontId="53" fillId="27" borderId="21" xfId="0" applyNumberFormat="1" applyFont="1" applyFill="1" applyBorder="1" applyAlignment="1">
      <alignment horizontal="right"/>
    </xf>
    <xf numFmtId="38" fontId="53" fillId="27" borderId="14" xfId="0" applyNumberFormat="1" applyFont="1" applyFill="1" applyBorder="1" applyAlignment="1">
      <alignment horizontal="right"/>
    </xf>
    <xf numFmtId="38" fontId="53" fillId="7" borderId="3" xfId="0" applyNumberFormat="1" applyFont="1" applyFill="1" applyBorder="1" applyAlignment="1">
      <alignment horizontal="right"/>
    </xf>
    <xf numFmtId="38" fontId="53" fillId="7" borderId="28" xfId="0" applyNumberFormat="1" applyFont="1" applyFill="1" applyBorder="1" applyAlignment="1">
      <alignment horizontal="right"/>
    </xf>
    <xf numFmtId="0" fontId="55" fillId="6" borderId="0" xfId="0" applyFont="1" applyFill="1" applyAlignment="1">
      <alignment vertical="center"/>
    </xf>
    <xf numFmtId="38" fontId="53" fillId="7" borderId="33" xfId="0" applyNumberFormat="1" applyFont="1" applyFill="1" applyBorder="1" applyAlignment="1" applyProtection="1">
      <alignment horizontal="right"/>
    </xf>
    <xf numFmtId="38" fontId="53" fillId="2" borderId="3" xfId="0" applyNumberFormat="1" applyFont="1" applyFill="1" applyBorder="1" applyAlignment="1">
      <alignment horizontal="right"/>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Fill="1" applyBorder="1" applyAlignment="1" applyProtection="1">
      <protection locked="0"/>
    </xf>
    <xf numFmtId="0" fontId="52" fillId="0" borderId="0" xfId="3" applyFont="1" applyAlignment="1" applyProtection="1">
      <alignment horizontal="center" vertical="center"/>
    </xf>
    <xf numFmtId="3" fontId="10" fillId="0" borderId="22" xfId="3" applyNumberFormat="1" applyFont="1" applyBorder="1" applyAlignment="1" applyProtection="1">
      <alignment horizontal="center"/>
      <protection locked="0"/>
    </xf>
    <xf numFmtId="3" fontId="11" fillId="0" borderId="22" xfId="3" applyNumberFormat="1" applyFont="1" applyBorder="1" applyAlignment="1" applyProtection="1">
      <alignment horizontal="center"/>
      <protection locked="0"/>
    </xf>
    <xf numFmtId="1" fontId="10" fillId="0" borderId="22" xfId="3" applyNumberFormat="1" applyFont="1" applyBorder="1" applyAlignment="1" applyProtection="1">
      <alignment horizontal="center"/>
      <protection locked="0"/>
    </xf>
    <xf numFmtId="169" fontId="10" fillId="0" borderId="22" xfId="3" applyNumberFormat="1" applyFont="1" applyBorder="1" applyAlignment="1" applyProtection="1">
      <alignment horizontal="center"/>
      <protection locked="0"/>
    </xf>
    <xf numFmtId="3" fontId="62" fillId="0" borderId="22" xfId="3" applyNumberFormat="1" applyFont="1" applyFill="1" applyBorder="1" applyAlignment="1" applyProtection="1">
      <alignment horizontal="left" vertical="center" wrapText="1"/>
      <protection locked="0"/>
    </xf>
    <xf numFmtId="3" fontId="10" fillId="0" borderId="8" xfId="3" applyNumberFormat="1" applyFont="1" applyBorder="1" applyAlignment="1" applyProtection="1">
      <alignment horizontal="center"/>
      <protection locked="0"/>
    </xf>
    <xf numFmtId="3" fontId="60" fillId="0" borderId="22" xfId="3" applyNumberFormat="1" applyFont="1" applyFill="1" applyBorder="1" applyAlignment="1" applyProtection="1">
      <alignment horizontal="left" vertical="center" wrapText="1"/>
      <protection locked="0"/>
    </xf>
    <xf numFmtId="3" fontId="11" fillId="0" borderId="8" xfId="3" applyNumberFormat="1" applyFont="1" applyBorder="1" applyAlignment="1" applyProtection="1">
      <alignment horizontal="center"/>
      <protection locked="0"/>
    </xf>
    <xf numFmtId="1" fontId="10" fillId="0" borderId="8" xfId="3" applyNumberFormat="1" applyFont="1" applyBorder="1" applyAlignment="1" applyProtection="1">
      <alignment horizontal="center"/>
      <protection locked="0"/>
    </xf>
    <xf numFmtId="169" fontId="10" fillId="0" borderId="8" xfId="3" applyNumberFormat="1" applyFont="1" applyBorder="1" applyAlignment="1" applyProtection="1">
      <alignment horizontal="center"/>
      <protection locked="0"/>
    </xf>
    <xf numFmtId="1" fontId="60" fillId="0" borderId="22" xfId="3" applyNumberFormat="1" applyFont="1" applyFill="1" applyBorder="1" applyAlignment="1" applyProtection="1">
      <alignment horizontal="center"/>
      <protection locked="0"/>
    </xf>
    <xf numFmtId="169" fontId="60" fillId="0" borderId="22" xfId="3" applyNumberFormat="1" applyFont="1" applyFill="1" applyBorder="1" applyAlignment="1" applyProtection="1">
      <alignment horizontal="center"/>
      <protection locked="0"/>
    </xf>
    <xf numFmtId="37" fontId="137" fillId="0" borderId="0" xfId="19" applyFont="1" applyFill="1" applyAlignment="1">
      <alignment wrapText="1"/>
    </xf>
    <xf numFmtId="3" fontId="62" fillId="0" borderId="0" xfId="3" applyNumberFormat="1" applyFont="1" applyFill="1" applyBorder="1" applyAlignment="1" applyProtection="1">
      <alignment horizontal="left" vertical="center" wrapText="1"/>
      <protection locked="0"/>
    </xf>
    <xf numFmtId="1" fontId="62" fillId="0" borderId="22" xfId="3" applyNumberFormat="1" applyFont="1" applyFill="1" applyBorder="1" applyAlignment="1" applyProtection="1">
      <alignment horizontal="center"/>
      <protection locked="0"/>
    </xf>
    <xf numFmtId="169" fontId="62" fillId="0" borderId="22" xfId="3" applyNumberFormat="1" applyFont="1" applyFill="1" applyBorder="1" applyAlignment="1" applyProtection="1">
      <alignment horizontal="center"/>
      <protection locked="0"/>
    </xf>
    <xf numFmtId="1" fontId="60" fillId="0" borderId="8" xfId="3" applyNumberFormat="1" applyFont="1" applyFill="1" applyBorder="1" applyAlignment="1" applyProtection="1">
      <alignment horizontal="center"/>
      <protection locked="0"/>
    </xf>
    <xf numFmtId="169" fontId="60" fillId="0" borderId="8" xfId="3" applyNumberFormat="1" applyFont="1" applyFill="1" applyBorder="1" applyAlignment="1" applyProtection="1">
      <alignment horizontal="center"/>
      <protection locked="0"/>
    </xf>
    <xf numFmtId="3" fontId="60" fillId="0" borderId="22" xfId="3" applyNumberFormat="1" applyFont="1" applyFill="1" applyBorder="1" applyAlignment="1" applyProtection="1">
      <alignment horizontal="center"/>
      <protection locked="0"/>
    </xf>
    <xf numFmtId="1" fontId="62" fillId="0" borderId="8" xfId="3" applyNumberFormat="1" applyFont="1" applyFill="1" applyBorder="1" applyAlignment="1" applyProtection="1">
      <alignment horizontal="center"/>
      <protection locked="0"/>
    </xf>
    <xf numFmtId="169" fontId="62" fillId="0" borderId="8" xfId="3" applyNumberFormat="1" applyFont="1" applyFill="1" applyBorder="1" applyAlignment="1" applyProtection="1">
      <alignment horizontal="center"/>
      <protection locked="0"/>
    </xf>
    <xf numFmtId="3" fontId="60" fillId="0" borderId="8" xfId="3" applyNumberFormat="1" applyFont="1" applyFill="1" applyBorder="1" applyAlignment="1" applyProtection="1">
      <alignment horizontal="center"/>
      <protection locked="0"/>
    </xf>
    <xf numFmtId="0" fontId="55" fillId="0" borderId="0" xfId="3" applyFont="1" applyBorder="1" applyAlignment="1" applyProtection="1">
      <protection locked="0"/>
    </xf>
    <xf numFmtId="0" fontId="55" fillId="0" borderId="0" xfId="3" applyFont="1" applyBorder="1" applyAlignment="1" applyProtection="1">
      <alignment horizontal="left" wrapText="1"/>
      <protection locked="0"/>
    </xf>
    <xf numFmtId="0" fontId="55" fillId="0" borderId="0" xfId="3" applyFont="1" applyBorder="1" applyAlignment="1" applyProtection="1">
      <alignment horizontal="left" vertical="center" wrapText="1"/>
      <protection locked="0"/>
    </xf>
    <xf numFmtId="179" fontId="55" fillId="0" borderId="0" xfId="3" applyNumberFormat="1" applyFont="1" applyBorder="1" applyAlignment="1" applyProtection="1">
      <alignment vertical="top"/>
      <protection locked="0"/>
    </xf>
    <xf numFmtId="0" fontId="0" fillId="0" borderId="0" xfId="0"/>
    <xf numFmtId="164" fontId="0" fillId="0" borderId="0" xfId="0" applyNumberFormat="1"/>
    <xf numFmtId="0" fontId="0" fillId="0" borderId="0" xfId="0" applyAlignment="1">
      <alignment vertical="top"/>
    </xf>
    <xf numFmtId="0" fontId="0" fillId="0" borderId="0" xfId="0" applyAlignment="1">
      <alignment wrapText="1"/>
    </xf>
    <xf numFmtId="164" fontId="0" fillId="0" borderId="0" xfId="0" applyNumberFormat="1" applyAlignment="1">
      <alignment vertical="top"/>
    </xf>
    <xf numFmtId="0" fontId="0" fillId="0" borderId="0" xfId="0"/>
    <xf numFmtId="0" fontId="0" fillId="0" borderId="0" xfId="0" applyAlignment="1"/>
    <xf numFmtId="164" fontId="0" fillId="0" borderId="0" xfId="0" applyNumberFormat="1"/>
    <xf numFmtId="0" fontId="0" fillId="0" borderId="0" xfId="0" applyAlignment="1">
      <alignment wrapText="1"/>
    </xf>
    <xf numFmtId="164" fontId="9" fillId="0" borderId="0" xfId="0" applyNumberFormat="1" applyFont="1"/>
    <xf numFmtId="37" fontId="136" fillId="0" borderId="0" xfId="19" applyFont="1" applyFill="1" applyAlignment="1" applyProtection="1">
      <alignment vertical="top" wrapText="1"/>
    </xf>
    <xf numFmtId="0" fontId="1" fillId="0" borderId="158" xfId="17" applyFont="1" applyBorder="1" applyAlignment="1" applyProtection="1">
      <alignment horizontal="left" vertical="top" wrapText="1"/>
      <protection locked="0"/>
    </xf>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vertical="top"/>
      <protection locked="0"/>
    </xf>
    <xf numFmtId="0" fontId="9" fillId="0" borderId="0" xfId="0" applyFont="1" applyAlignment="1">
      <alignment wrapText="1"/>
    </xf>
    <xf numFmtId="3" fontId="55" fillId="0" borderId="0" xfId="3" applyNumberFormat="1" applyFont="1" applyProtection="1"/>
    <xf numFmtId="0" fontId="55" fillId="0" borderId="0" xfId="3" applyFont="1" applyBorder="1" applyAlignment="1" applyProtection="1">
      <alignment horizontal="left" vertical="top" wrapText="1"/>
      <protection locked="0"/>
    </xf>
    <xf numFmtId="0" fontId="55" fillId="0" borderId="0" xfId="3" applyFont="1" applyBorder="1" applyAlignment="1" applyProtection="1">
      <alignment horizontal="left" vertical="top" wrapText="1"/>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14" fontId="12" fillId="0" borderId="126" xfId="12" applyNumberFormat="1" applyFont="1" applyBorder="1" applyAlignment="1" applyProtection="1">
      <alignment horizontal="left" vertical="center" indent="1"/>
      <protection locked="0"/>
    </xf>
    <xf numFmtId="0" fontId="12" fillId="0" borderId="129" xfId="12" applyNumberFormat="1" applyFont="1" applyBorder="1" applyAlignment="1" applyProtection="1">
      <alignment horizontal="left" vertical="center" indent="1"/>
      <protection locked="0"/>
    </xf>
    <xf numFmtId="0" fontId="12" fillId="0" borderId="127"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9" xfId="12" applyNumberFormat="1" applyFont="1" applyBorder="1" applyAlignment="1" applyProtection="1">
      <alignment horizontal="left" vertical="center" indent="1"/>
      <protection locked="0"/>
    </xf>
    <xf numFmtId="180" fontId="12" fillId="0" borderId="127"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2" fillId="0" borderId="126" xfId="12" applyNumberFormat="1" applyFont="1" applyBorder="1" applyAlignment="1" applyProtection="1">
      <alignment horizontal="left" vertical="center" indent="1"/>
      <protection locked="0"/>
    </xf>
    <xf numFmtId="0" fontId="12" fillId="0" borderId="129" xfId="0" applyNumberFormat="1" applyFont="1" applyBorder="1" applyAlignment="1" applyProtection="1">
      <alignment horizontal="left" vertical="center" indent="1"/>
      <protection locked="0"/>
    </xf>
    <xf numFmtId="0" fontId="12" fillId="0" borderId="127" xfId="0"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7" xfId="12"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9"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12" fillId="0" borderId="126" xfId="12" applyNumberFormat="1" applyFont="1" applyFill="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9" xfId="12" applyNumberFormat="1" applyFont="1" applyFill="1" applyBorder="1" applyAlignment="1" applyProtection="1">
      <alignment horizontal="left" vertical="center" indent="1"/>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9"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3" fillId="0" borderId="129"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2" fillId="0" borderId="135"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3" fillId="0" borderId="129"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7" xfId="0" applyFont="1" applyFill="1" applyBorder="1" applyAlignment="1" applyProtection="1">
      <alignment horizontal="center" vertical="center" wrapText="1"/>
    </xf>
    <xf numFmtId="3" fontId="62" fillId="24" borderId="13" xfId="0" applyNumberFormat="1" applyFont="1" applyFill="1" applyBorder="1" applyAlignment="1" applyProtection="1">
      <alignment horizontal="left" vertical="center"/>
    </xf>
    <xf numFmtId="3" fontId="62" fillId="24" borderId="14" xfId="0" applyNumberFormat="1" applyFont="1" applyFill="1" applyBorder="1" applyAlignment="1" applyProtection="1">
      <alignment horizontal="left" vertical="center"/>
    </xf>
    <xf numFmtId="164" fontId="62" fillId="24" borderId="49" xfId="0" applyNumberFormat="1" applyFont="1" applyFill="1" applyBorder="1" applyAlignment="1" applyProtection="1">
      <alignment horizontal="left" vertical="center"/>
    </xf>
    <xf numFmtId="164" fontId="62" fillId="24" borderId="31" xfId="0" applyNumberFormat="1" applyFont="1" applyFill="1" applyBorder="1" applyAlignment="1" applyProtection="1">
      <alignment horizontal="left" vertical="center"/>
    </xf>
    <xf numFmtId="0" fontId="62" fillId="24" borderId="34" xfId="0" applyFont="1" applyFill="1" applyBorder="1" applyAlignment="1" applyProtection="1">
      <alignment horizontal="left" vertical="center"/>
    </xf>
    <xf numFmtId="0" fontId="62" fillId="24" borderId="31" xfId="0" applyFont="1" applyFill="1" applyBorder="1" applyAlignment="1" applyProtection="1">
      <alignment horizontal="left" vertical="center"/>
    </xf>
    <xf numFmtId="164" fontId="62" fillId="24" borderId="13" xfId="0" applyNumberFormat="1" applyFont="1" applyFill="1" applyBorder="1" applyAlignment="1" applyProtection="1">
      <alignment horizontal="left" vertical="center"/>
    </xf>
    <xf numFmtId="164" fontId="62" fillId="24"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7"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6" borderId="13" xfId="0" applyNumberFormat="1" applyFont="1" applyFill="1" applyBorder="1" applyAlignment="1" applyProtection="1">
      <alignment horizontal="left" vertical="center" wrapText="1" indent="1"/>
    </xf>
    <xf numFmtId="164" fontId="62" fillId="26"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4" borderId="13" xfId="0" applyNumberFormat="1" applyFont="1" applyFill="1" applyBorder="1" applyAlignment="1" applyProtection="1">
      <alignment horizontal="left" vertical="center"/>
    </xf>
    <xf numFmtId="49" fontId="62" fillId="24" borderId="14" xfId="0" applyNumberFormat="1" applyFont="1" applyFill="1" applyBorder="1" applyAlignment="1" applyProtection="1">
      <alignment horizontal="left" vertical="center"/>
    </xf>
    <xf numFmtId="0" fontId="62" fillId="24" borderId="13" xfId="0" applyFont="1" applyFill="1" applyBorder="1" applyAlignment="1" applyProtection="1">
      <alignment vertical="center"/>
    </xf>
    <xf numFmtId="0" fontId="62" fillId="24"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0" borderId="18" xfId="0" applyNumberFormat="1" applyFont="1" applyBorder="1" applyAlignment="1" applyProtection="1">
      <alignment horizontal="center" vertical="center" wrapText="1"/>
    </xf>
    <xf numFmtId="0" fontId="63" fillId="24" borderId="19" xfId="0" applyFont="1" applyFill="1" applyBorder="1" applyAlignment="1">
      <alignment horizontal="center" vertical="center"/>
    </xf>
    <xf numFmtId="0" fontId="55" fillId="24" borderId="11" xfId="0" applyFont="1" applyFill="1" applyBorder="1" applyAlignment="1">
      <alignment horizontal="center" vertical="center"/>
    </xf>
    <xf numFmtId="0" fontId="63" fillId="25" borderId="20" xfId="0" applyFont="1" applyFill="1" applyBorder="1" applyAlignment="1">
      <alignment horizontal="center" vertical="center"/>
    </xf>
    <xf numFmtId="0" fontId="63" fillId="25" borderId="11" xfId="0" applyFont="1" applyFill="1" applyBorder="1" applyAlignment="1">
      <alignment horizontal="center" vertical="center"/>
    </xf>
    <xf numFmtId="0" fontId="55" fillId="25" borderId="11" xfId="0" applyFont="1" applyFill="1" applyBorder="1" applyAlignment="1">
      <alignment horizontal="center" vertical="center"/>
    </xf>
    <xf numFmtId="0" fontId="63" fillId="24" borderId="107" xfId="0" applyFont="1" applyFill="1" applyBorder="1" applyAlignment="1">
      <alignment horizontal="center" vertical="center"/>
    </xf>
    <xf numFmtId="0" fontId="55" fillId="24" borderId="132" xfId="0" applyFont="1" applyFill="1" applyBorder="1" applyAlignment="1">
      <alignment horizontal="center" vertical="center"/>
    </xf>
    <xf numFmtId="0" fontId="63" fillId="24"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4" borderId="20" xfId="0" applyFont="1" applyFill="1" applyBorder="1" applyAlignment="1">
      <alignment horizontal="center" vertical="center" wrapText="1"/>
    </xf>
    <xf numFmtId="0" fontId="55" fillId="24" borderId="11" xfId="0" applyFont="1" applyFill="1" applyBorder="1" applyAlignment="1">
      <alignment horizontal="center" vertical="center" wrapText="1"/>
    </xf>
    <xf numFmtId="3" fontId="63" fillId="24" borderId="13" xfId="0" applyNumberFormat="1" applyFont="1" applyFill="1" applyBorder="1" applyAlignment="1">
      <alignment horizontal="center" vertical="center"/>
    </xf>
    <xf numFmtId="0" fontId="55" fillId="24" borderId="14" xfId="0" applyFont="1" applyFill="1" applyBorder="1" applyAlignment="1">
      <alignment horizontal="center" vertical="center"/>
    </xf>
    <xf numFmtId="0" fontId="63" fillId="24" borderId="21" xfId="0" applyFont="1" applyFill="1" applyBorder="1" applyAlignment="1">
      <alignment horizontal="center" vertical="center"/>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16" borderId="10" xfId="0" applyNumberFormat="1" applyFont="1" applyFill="1" applyBorder="1" applyAlignment="1" applyProtection="1">
      <alignment horizontal="center" vertical="center" wrapText="1"/>
    </xf>
    <xf numFmtId="3" fontId="62" fillId="16" borderId="127" xfId="0" applyNumberFormat="1" applyFont="1" applyFill="1" applyBorder="1" applyAlignment="1" applyProtection="1">
      <alignment horizontal="center" vertical="center" wrapText="1"/>
    </xf>
    <xf numFmtId="0" fontId="62" fillId="6" borderId="13" xfId="0"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3" fillId="13" borderId="13" xfId="0" applyNumberFormat="1" applyFont="1" applyFill="1" applyBorder="1" applyAlignment="1" applyProtection="1">
      <alignment horizontal="center" vertical="center"/>
    </xf>
    <xf numFmtId="0" fontId="55" fillId="13" borderId="14" xfId="0" applyFont="1" applyFill="1" applyBorder="1" applyAlignment="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63" fillId="13" borderId="13" xfId="9" applyFont="1" applyFill="1" applyBorder="1" applyAlignment="1">
      <alignment horizontal="center" vertical="center"/>
    </xf>
    <xf numFmtId="0" fontId="60" fillId="0" borderId="6" xfId="0" applyFont="1" applyBorder="1" applyAlignment="1" applyProtection="1">
      <alignment horizontal="left" vertical="center" wrapText="1"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8"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3" borderId="148" xfId="0" applyFont="1" applyFill="1" applyBorder="1" applyAlignment="1" applyProtection="1">
      <alignment horizontal="left" vertical="center"/>
    </xf>
    <xf numFmtId="0" fontId="62" fillId="3" borderId="149" xfId="0"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8" xfId="0" applyFont="1" applyBorder="1" applyAlignment="1" applyProtection="1">
      <alignment horizontal="left" vertical="center" wrapText="1" indent="1"/>
    </xf>
    <xf numFmtId="0" fontId="60" fillId="0" borderId="149" xfId="0" applyFont="1" applyBorder="1" applyAlignment="1" applyProtection="1">
      <alignment horizontal="left" vertical="center" wrapText="1" indent="1"/>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4" borderId="147" xfId="0" applyFont="1" applyFill="1" applyBorder="1" applyAlignment="1" applyProtection="1">
      <alignment horizontal="left" vertical="center" indent="1"/>
    </xf>
    <xf numFmtId="0" fontId="63" fillId="24" borderId="148" xfId="0" applyFont="1" applyFill="1" applyBorder="1" applyAlignment="1" applyProtection="1">
      <alignment horizontal="left" vertical="center" indent="1"/>
    </xf>
    <xf numFmtId="0" fontId="63" fillId="24" borderId="149"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4" borderId="92" xfId="10" applyFont="1" applyFill="1" applyBorder="1" applyAlignment="1">
      <alignment horizontal="center" vertical="center" wrapText="1"/>
    </xf>
    <xf numFmtId="0" fontId="63" fillId="24" borderId="25" xfId="0" applyFont="1" applyFill="1" applyBorder="1" applyAlignment="1">
      <alignment horizontal="center" vertical="center" wrapText="1"/>
    </xf>
    <xf numFmtId="0" fontId="63" fillId="24" borderId="93" xfId="0" applyFont="1" applyFill="1" applyBorder="1" applyAlignment="1">
      <alignment horizontal="center" vertical="center" wrapText="1"/>
    </xf>
    <xf numFmtId="0" fontId="128" fillId="24" borderId="94" xfId="10" applyFont="1" applyFill="1" applyBorder="1" applyAlignment="1">
      <alignment horizontal="center" vertical="center"/>
    </xf>
    <xf numFmtId="0" fontId="53" fillId="24" borderId="47" xfId="0" applyFont="1" applyFill="1" applyBorder="1" applyAlignment="1">
      <alignment horizontal="center" vertical="center"/>
    </xf>
    <xf numFmtId="0" fontId="53" fillId="24"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4" borderId="141" xfId="17" applyFont="1" applyFill="1" applyBorder="1" applyAlignment="1">
      <alignment horizontal="center" vertical="center"/>
    </xf>
    <xf numFmtId="0" fontId="124" fillId="24" borderId="142" xfId="17" applyFont="1" applyFill="1" applyBorder="1" applyAlignment="1">
      <alignment horizontal="center" vertical="center"/>
    </xf>
    <xf numFmtId="0" fontId="124" fillId="24" borderId="143" xfId="17" applyFont="1" applyFill="1" applyBorder="1" applyAlignment="1">
      <alignment horizontal="center" vertical="center"/>
    </xf>
    <xf numFmtId="0" fontId="124" fillId="24" borderId="98" xfId="17" applyFont="1" applyFill="1" applyBorder="1" applyAlignment="1">
      <alignment horizontal="center" vertical="center"/>
    </xf>
    <xf numFmtId="0" fontId="124" fillId="24" borderId="78" xfId="17" applyFont="1" applyFill="1" applyBorder="1" applyAlignment="1">
      <alignment horizontal="center" vertical="center"/>
    </xf>
    <xf numFmtId="0" fontId="124" fillId="24"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99" fillId="24" borderId="0" xfId="18" applyFont="1" applyFill="1" applyAlignment="1">
      <alignment horizontal="center" vertical="center"/>
    </xf>
    <xf numFmtId="0" fontId="71" fillId="0" borderId="138"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3" fillId="0" borderId="142" xfId="18" applyFont="1" applyBorder="1" applyAlignment="1" applyProtection="1">
      <alignment horizontal="center" vertical="top" wrapText="1"/>
      <protection locked="0"/>
    </xf>
    <xf numFmtId="0" fontId="3" fillId="0" borderId="143" xfId="18" applyFont="1" applyBorder="1" applyAlignment="1" applyProtection="1">
      <alignment horizontal="center" vertical="top" wrapText="1"/>
      <protection locked="0"/>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7" fillId="0" borderId="142" xfId="18" applyFont="1" applyBorder="1" applyAlignment="1" applyProtection="1">
      <alignment horizontal="center" vertical="top" wrapText="1"/>
      <protection locked="0"/>
    </xf>
    <xf numFmtId="0" fontId="47" fillId="0" borderId="143"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4" borderId="17" xfId="3" applyNumberFormat="1" applyFont="1" applyFill="1" applyBorder="1" applyAlignment="1">
      <alignment horizontal="left" vertical="top" wrapText="1"/>
    </xf>
    <xf numFmtId="0" fontId="53" fillId="24" borderId="0" xfId="3" applyFont="1" applyFill="1" applyBorder="1" applyAlignment="1">
      <alignment vertical="top"/>
    </xf>
    <xf numFmtId="0" fontId="53" fillId="24"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4" xfId="3" applyFont="1" applyBorder="1" applyAlignment="1">
      <alignment horizontal="center" vertical="center" wrapText="1"/>
    </xf>
    <xf numFmtId="0" fontId="71" fillId="0" borderId="134" xfId="3" applyNumberFormat="1" applyFont="1" applyBorder="1" applyAlignment="1">
      <alignment horizontal="center"/>
    </xf>
    <xf numFmtId="0" fontId="55" fillId="0" borderId="135" xfId="3" applyNumberFormat="1" applyFont="1" applyBorder="1" applyAlignment="1" applyProtection="1">
      <alignment horizontal="center"/>
      <protection locked="0"/>
    </xf>
    <xf numFmtId="171" fontId="55" fillId="0" borderId="135" xfId="3" applyNumberFormat="1" applyFont="1" applyBorder="1" applyAlignment="1" applyProtection="1">
      <alignment horizontal="center"/>
      <protection locked="0"/>
    </xf>
    <xf numFmtId="0" fontId="55" fillId="0" borderId="135"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3"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7" fillId="0" borderId="117"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6" xfId="0" applyFont="1" applyFill="1" applyBorder="1" applyAlignment="1">
      <alignment horizontal="center" vertical="center"/>
    </xf>
    <xf numFmtId="0" fontId="110" fillId="13" borderId="129" xfId="0" applyFont="1" applyFill="1" applyBorder="1" applyAlignment="1">
      <alignment horizontal="center" vertical="center"/>
    </xf>
    <xf numFmtId="0" fontId="110" fillId="13" borderId="154"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6" xfId="0" applyNumberFormat="1" applyFont="1" applyFill="1" applyBorder="1" applyAlignment="1">
      <alignment horizontal="center" vertical="top"/>
    </xf>
    <xf numFmtId="164" fontId="111" fillId="13" borderId="129" xfId="0" applyNumberFormat="1" applyFont="1" applyFill="1" applyBorder="1" applyAlignment="1">
      <alignment horizontal="center" vertical="top"/>
    </xf>
    <xf numFmtId="164" fontId="111" fillId="13" borderId="154"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9" xfId="0" applyNumberFormat="1" applyFont="1" applyBorder="1" applyAlignment="1">
      <alignment horizontal="left" vertical="center" wrapText="1"/>
    </xf>
    <xf numFmtId="0" fontId="55" fillId="0" borderId="127"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0" xfId="3" applyNumberFormat="1" applyFont="1" applyAlignment="1" applyProtection="1">
      <alignment horizontal="center" vertical="center"/>
    </xf>
    <xf numFmtId="0" fontId="53" fillId="0" borderId="147" xfId="3" applyNumberFormat="1" applyFont="1" applyBorder="1" applyProtection="1"/>
    <xf numFmtId="0" fontId="53" fillId="0" borderId="148"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8" xfId="3" applyNumberFormat="1"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63" fillId="0" borderId="149" xfId="3" applyFont="1" applyBorder="1" applyAlignment="1" applyProtection="1">
      <alignment horizontal="left" indent="1"/>
      <protection locked="0"/>
    </xf>
    <xf numFmtId="0" fontId="55" fillId="0" borderId="0" xfId="3" applyFont="1" applyAlignment="1">
      <alignment horizontal="center" vertical="center"/>
    </xf>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63" fillId="0" borderId="0" xfId="3" quotePrefix="1" applyFont="1" applyAlignment="1" applyProtection="1">
      <alignment horizontal="center" vertical="center"/>
    </xf>
    <xf numFmtId="0" fontId="9" fillId="0" borderId="69" xfId="3" applyFont="1" applyBorder="1" applyAlignment="1" applyProtection="1">
      <alignment horizontal="left"/>
      <protection locked="0"/>
    </xf>
    <xf numFmtId="0" fontId="9" fillId="0" borderId="69" xfId="3" applyBorder="1" applyAlignment="1" applyProtection="1">
      <alignment horizontal="left"/>
      <protection locked="0"/>
    </xf>
    <xf numFmtId="0" fontId="9" fillId="0" borderId="69" xfId="3" applyFont="1" applyBorder="1" applyAlignment="1" applyProtection="1">
      <protection locked="0"/>
    </xf>
    <xf numFmtId="0" fontId="9" fillId="0" borderId="69" xfId="3" applyBorder="1" applyAlignment="1" applyProtection="1">
      <protection locked="0"/>
    </xf>
    <xf numFmtId="0" fontId="63" fillId="0" borderId="0" xfId="3" applyNumberFormat="1" applyFont="1" applyAlignment="1">
      <alignment horizontal="center"/>
    </xf>
    <xf numFmtId="165" fontId="63" fillId="0" borderId="0" xfId="3" applyNumberFormat="1" applyFont="1" applyAlignment="1" applyProtection="1">
      <alignment horizontal="center" vertic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60" fillId="0" borderId="0" xfId="3" applyFont="1" applyAlignment="1" applyProtection="1">
      <alignment horizontal="left" vertical="center" wrapText="1"/>
    </xf>
    <xf numFmtId="3" fontId="53" fillId="0" borderId="77" xfId="3" applyNumberFormat="1" applyFont="1" applyBorder="1" applyAlignment="1" applyProtection="1">
      <alignment horizontal="right" indent="1"/>
      <protection locked="0"/>
    </xf>
    <xf numFmtId="0" fontId="53" fillId="0" borderId="0" xfId="3" applyFont="1" applyBorder="1" applyAlignment="1" applyProtection="1">
      <alignment vertical="center" wrapText="1"/>
      <protection locked="0"/>
    </xf>
    <xf numFmtId="5" fontId="63" fillId="0" borderId="150" xfId="3" applyNumberFormat="1" applyFont="1" applyBorder="1" applyAlignment="1" applyProtection="1">
      <protection locked="0"/>
    </xf>
    <xf numFmtId="0" fontId="63" fillId="0" borderId="151" xfId="3" applyFont="1" applyBorder="1" applyAlignment="1" applyProtection="1">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52" fillId="0" borderId="78" xfId="3" applyFont="1" applyBorder="1" applyAlignment="1" applyProtection="1">
      <alignment horizont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0" fontId="62" fillId="0" borderId="150"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1"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50" xfId="3" applyNumberFormat="1" applyFont="1" applyBorder="1" applyProtection="1">
      <protection locked="0"/>
    </xf>
    <xf numFmtId="6" fontId="60" fillId="0" borderId="151"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60" fillId="0" borderId="150"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1"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50" xfId="3" applyFont="1" applyBorder="1" applyAlignment="1" applyProtection="1">
      <alignment horizontal="center"/>
    </xf>
    <xf numFmtId="0" fontId="60" fillId="0" borderId="76" xfId="3" applyFont="1" applyBorder="1" applyAlignment="1" applyProtection="1">
      <alignment horizontal="center"/>
    </xf>
    <xf numFmtId="0" fontId="60" fillId="0" borderId="151" xfId="3" applyFont="1" applyBorder="1" applyAlignment="1" applyProtection="1">
      <alignment horizontal="center"/>
    </xf>
    <xf numFmtId="38" fontId="60" fillId="0" borderId="150"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1" xfId="3" applyNumberFormat="1" applyFont="1" applyBorder="1" applyAlignment="1" applyProtection="1">
      <alignment horizontal="right" vertic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5" xfId="3" applyFont="1" applyBorder="1" applyAlignment="1" applyProtection="1">
      <alignment horizontal="center" vertical="center" wrapText="1"/>
    </xf>
    <xf numFmtId="0" fontId="52" fillId="0" borderId="0" xfId="3" applyNumberFormat="1" applyFont="1" applyAlignment="1" applyProtection="1">
      <alignment horizontal="center" vertical="center" wrapText="1"/>
    </xf>
  </cellXfs>
  <cellStyles count="225">
    <cellStyle name="20% - Accent1 2" xfId="25"/>
    <cellStyle name="20% - Accent1 2 2" xfId="26"/>
    <cellStyle name="20% - Accent1 3" xfId="27"/>
    <cellStyle name="20% - Accent1 3 2" xfId="28"/>
    <cellStyle name="20% - Accent1 4" xfId="29"/>
    <cellStyle name="20% - Accent2 2" xfId="30"/>
    <cellStyle name="20% - Accent2 2 2" xfId="31"/>
    <cellStyle name="20% - Accent2 3" xfId="32"/>
    <cellStyle name="20% - Accent2 3 2" xfId="33"/>
    <cellStyle name="20% - Accent2 4" xfId="34"/>
    <cellStyle name="20% - Accent3 2" xfId="35"/>
    <cellStyle name="20% - Accent3 2 2" xfId="36"/>
    <cellStyle name="20% - Accent3 3" xfId="37"/>
    <cellStyle name="20% - Accent3 3 2" xfId="38"/>
    <cellStyle name="20% - Accent3 4" xfId="39"/>
    <cellStyle name="20% - Accent4 2" xfId="40"/>
    <cellStyle name="20% - Accent4 2 2" xfId="41"/>
    <cellStyle name="20% - Accent4 3" xfId="42"/>
    <cellStyle name="20% - Accent4 3 2" xfId="43"/>
    <cellStyle name="20% - Accent4 4" xfId="44"/>
    <cellStyle name="20% - Accent5 2" xfId="45"/>
    <cellStyle name="20% - Accent5 2 2" xfId="46"/>
    <cellStyle name="20% - Accent5 3" xfId="47"/>
    <cellStyle name="20% - Accent5 3 2" xfId="48"/>
    <cellStyle name="20% - Accent5 4" xfId="49"/>
    <cellStyle name="20% - Accent6 2" xfId="50"/>
    <cellStyle name="20% - Accent6 2 2" xfId="51"/>
    <cellStyle name="20% - Accent6 3" xfId="52"/>
    <cellStyle name="20% - Accent6 3 2" xfId="53"/>
    <cellStyle name="20% - Accent6 4" xfId="54"/>
    <cellStyle name="40% - Accent1 2" xfId="55"/>
    <cellStyle name="40% - Accent1 2 2" xfId="56"/>
    <cellStyle name="40% - Accent1 3" xfId="57"/>
    <cellStyle name="40% - Accent1 3 2" xfId="58"/>
    <cellStyle name="40% - Accent1 4" xfId="59"/>
    <cellStyle name="40% - Accent2 2" xfId="60"/>
    <cellStyle name="40% - Accent2 2 2" xfId="61"/>
    <cellStyle name="40% - Accent2 3" xfId="62"/>
    <cellStyle name="40% - Accent2 3 2" xfId="63"/>
    <cellStyle name="40% - Accent2 4" xfId="64"/>
    <cellStyle name="40% - Accent3 2" xfId="65"/>
    <cellStyle name="40% - Accent3 2 2" xfId="66"/>
    <cellStyle name="40% - Accent3 3" xfId="67"/>
    <cellStyle name="40% - Accent3 3 2" xfId="68"/>
    <cellStyle name="40% - Accent3 4" xfId="69"/>
    <cellStyle name="40% - Accent4 2" xfId="70"/>
    <cellStyle name="40% - Accent4 2 2" xfId="71"/>
    <cellStyle name="40% - Accent4 3" xfId="72"/>
    <cellStyle name="40% - Accent4 3 2" xfId="73"/>
    <cellStyle name="40% - Accent4 4" xfId="74"/>
    <cellStyle name="40% - Accent5 2" xfId="75"/>
    <cellStyle name="40% - Accent5 2 2" xfId="76"/>
    <cellStyle name="40% - Accent5 3" xfId="77"/>
    <cellStyle name="40% - Accent5 3 2" xfId="78"/>
    <cellStyle name="40% - Accent5 4" xfId="79"/>
    <cellStyle name="40% - Accent6 2" xfId="80"/>
    <cellStyle name="40% - Accent6 2 2" xfId="81"/>
    <cellStyle name="40% - Accent6 3" xfId="82"/>
    <cellStyle name="40% - Accent6 3 2" xfId="83"/>
    <cellStyle name="40% - Accent6 4" xfId="84"/>
    <cellStyle name="60% - Accent1 2" xfId="85"/>
    <cellStyle name="60% - Accent1 3" xfId="86"/>
    <cellStyle name="60% - Accent2 2" xfId="87"/>
    <cellStyle name="60% - Accent2 3" xfId="88"/>
    <cellStyle name="60% - Accent3 2" xfId="89"/>
    <cellStyle name="60% - Accent3 3" xfId="90"/>
    <cellStyle name="60% - Accent4 2" xfId="91"/>
    <cellStyle name="60% - Accent4 3" xfId="92"/>
    <cellStyle name="60% - Accent5 2" xfId="93"/>
    <cellStyle name="60% - Accent5 3" xfId="94"/>
    <cellStyle name="60% - Accent6 2" xfId="95"/>
    <cellStyle name="60% - Accent6 3" xfId="96"/>
    <cellStyle name="Accent1 2" xfId="97"/>
    <cellStyle name="Accent1 3" xfId="98"/>
    <cellStyle name="Accent2 2" xfId="99"/>
    <cellStyle name="Accent2 3" xfId="100"/>
    <cellStyle name="Accent3 2" xfId="101"/>
    <cellStyle name="Accent3 3" xfId="102"/>
    <cellStyle name="Accent4 2" xfId="103"/>
    <cellStyle name="Accent4 3" xfId="104"/>
    <cellStyle name="Accent5 2" xfId="105"/>
    <cellStyle name="Accent5 3" xfId="106"/>
    <cellStyle name="Accent6 2" xfId="107"/>
    <cellStyle name="Accent6 3" xfId="108"/>
    <cellStyle name="Bad 2" xfId="109"/>
    <cellStyle name="Bad 3" xfId="110"/>
    <cellStyle name="Calculation 2" xfId="111"/>
    <cellStyle name="Calculation 3" xfId="112"/>
    <cellStyle name="Check Cell 2" xfId="113"/>
    <cellStyle name="Check Cell 3" xfId="114"/>
    <cellStyle name="Comma" xfId="1" builtinId="3"/>
    <cellStyle name="Comma 2" xfId="116"/>
    <cellStyle name="Comma 2 2" xfId="117"/>
    <cellStyle name="Comma 2 2 2" xfId="179"/>
    <cellStyle name="Comma 2 3" xfId="180"/>
    <cellStyle name="Comma 2 3 2" xfId="181"/>
    <cellStyle name="Comma 2 4" xfId="182"/>
    <cellStyle name="Comma 2 5" xfId="183"/>
    <cellStyle name="Comma 2 6" xfId="184"/>
    <cellStyle name="Comma 2 7" xfId="185"/>
    <cellStyle name="Comma 3" xfId="118"/>
    <cellStyle name="Comma 3 2" xfId="186"/>
    <cellStyle name="Comma 3 3" xfId="187"/>
    <cellStyle name="Comma 4" xfId="119"/>
    <cellStyle name="Comma 4 2" xfId="188"/>
    <cellStyle name="Comma 4 3" xfId="189"/>
    <cellStyle name="Comma 5" xfId="120"/>
    <cellStyle name="Comma 5 2" xfId="121"/>
    <cellStyle name="Comma 5 2 2" xfId="190"/>
    <cellStyle name="Comma 5 2 2 2" xfId="191"/>
    <cellStyle name="Comma 5 2 3" xfId="192"/>
    <cellStyle name="Comma 5 2 4" xfId="193"/>
    <cellStyle name="Comma 5 3" xfId="194"/>
    <cellStyle name="Comma 6" xfId="122"/>
    <cellStyle name="Comma 7" xfId="123"/>
    <cellStyle name="Comma 8" xfId="115"/>
    <cellStyle name="Comma 9" xfId="195"/>
    <cellStyle name="Currency 2" xfId="124"/>
    <cellStyle name="Currency 2 2" xfId="125"/>
    <cellStyle name="Currency 3" xfId="126"/>
    <cellStyle name="Currency 4" xfId="127"/>
    <cellStyle name="Currency 4 2" xfId="128"/>
    <cellStyle name="Currency 5" xfId="129"/>
    <cellStyle name="Currency 6" xfId="130"/>
    <cellStyle name="Explanatory Text 2" xfId="131"/>
    <cellStyle name="Explanatory Text 3" xfId="132"/>
    <cellStyle name="Good 2" xfId="133"/>
    <cellStyle name="Good 3" xfId="134"/>
    <cellStyle name="Heading 1 2" xfId="135"/>
    <cellStyle name="Heading 1 3" xfId="136"/>
    <cellStyle name="Heading 2 2" xfId="137"/>
    <cellStyle name="Heading 2 3" xfId="138"/>
    <cellStyle name="Heading 3 2" xfId="139"/>
    <cellStyle name="Heading 3 3" xfId="140"/>
    <cellStyle name="Heading 4 2" xfId="141"/>
    <cellStyle name="Heading 4 3" xfId="142"/>
    <cellStyle name="Hyperlink" xfId="2" builtinId="8"/>
    <cellStyle name="Hyperlink 2" xfId="15"/>
    <cellStyle name="Hyperlink 2 2" xfId="143"/>
    <cellStyle name="Hyperlink 2 2 2" xfId="196"/>
    <cellStyle name="Hyperlink 2 3" xfId="197"/>
    <cellStyle name="Hyperlink 3" xfId="198"/>
    <cellStyle name="Input 2" xfId="144"/>
    <cellStyle name="Input 3" xfId="145"/>
    <cellStyle name="Linked Cell 2" xfId="146"/>
    <cellStyle name="Linked Cell 3" xfId="147"/>
    <cellStyle name="Neutral 2" xfId="148"/>
    <cellStyle name="Neutral 3" xfId="149"/>
    <cellStyle name="Normal" xfId="0" builtinId="0"/>
    <cellStyle name="Normal 10" xfId="199"/>
    <cellStyle name="Normal 11" xfId="19"/>
    <cellStyle name="Normal 11 2" xfId="178"/>
    <cellStyle name="Normal 2" xfId="3"/>
    <cellStyle name="Normal 2 2" xfId="150"/>
    <cellStyle name="Normal 2 2 2" xfId="151"/>
    <cellStyle name="Normal 2 3" xfId="152"/>
    <cellStyle name="Normal 3" xfId="4"/>
    <cellStyle name="Normal 3 2" xfId="14"/>
    <cellStyle name="Normal 3 2 2" xfId="18"/>
    <cellStyle name="Normal 3 2 2 2" xfId="200"/>
    <cellStyle name="Normal 3 2 2 3" xfId="153"/>
    <cellStyle name="Normal 3 2 3" xfId="23"/>
    <cellStyle name="Normal 3 2 3 2" xfId="201"/>
    <cellStyle name="Normal 3 3" xfId="154"/>
    <cellStyle name="Normal 3 3 2" xfId="202"/>
    <cellStyle name="Normal 3 3 3" xfId="203"/>
    <cellStyle name="Normal 3 4" xfId="155"/>
    <cellStyle name="Normal 3 4 2" xfId="204"/>
    <cellStyle name="Normal 3 5" xfId="22"/>
    <cellStyle name="Normal 3 6" xfId="205"/>
    <cellStyle name="Normal 4" xfId="16"/>
    <cellStyle name="Normal 4 2" xfId="157"/>
    <cellStyle name="Normal 4 2 2" xfId="206"/>
    <cellStyle name="Normal 4 3" xfId="158"/>
    <cellStyle name="Normal 4 3 2" xfId="207"/>
    <cellStyle name="Normal 4 4" xfId="156"/>
    <cellStyle name="Normal 4 4 2" xfId="208"/>
    <cellStyle name="Normal 4 5" xfId="21"/>
    <cellStyle name="Normal 5" xfId="17"/>
    <cellStyle name="Normal 5 2" xfId="209"/>
    <cellStyle name="Normal 5 2 2" xfId="210"/>
    <cellStyle name="Normal 5 3" xfId="159"/>
    <cellStyle name="Normal 6" xfId="160"/>
    <cellStyle name="Normal 6 2" xfId="211"/>
    <cellStyle name="Normal 6 3" xfId="212"/>
    <cellStyle name="Normal 6 4" xfId="213"/>
    <cellStyle name="Normal 6 4 2" xfId="214"/>
    <cellStyle name="Normal 6 5" xfId="215"/>
    <cellStyle name="Normal 6 6" xfId="216"/>
    <cellStyle name="Normal 7" xfId="24"/>
    <cellStyle name="Normal 7 2" xfId="217"/>
    <cellStyle name="Normal 7 2 2" xfId="218"/>
    <cellStyle name="Normal 7 3" xfId="219"/>
    <cellStyle name="Normal 7 4" xfId="220"/>
    <cellStyle name="Normal 8" xfId="221"/>
    <cellStyle name="Normal 9" xfId="222"/>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Note 2" xfId="161"/>
    <cellStyle name="Note 2 2" xfId="162"/>
    <cellStyle name="Note 3" xfId="163"/>
    <cellStyle name="Note 3 2" xfId="164"/>
    <cellStyle name="Note 4" xfId="165"/>
    <cellStyle name="Output 2" xfId="166"/>
    <cellStyle name="Output 3" xfId="167"/>
    <cellStyle name="Percent 2" xfId="168"/>
    <cellStyle name="Percent 2 2" xfId="169"/>
    <cellStyle name="Percent 2 3" xfId="223"/>
    <cellStyle name="Percent 3" xfId="170"/>
    <cellStyle name="Percent 3 2" xfId="224"/>
    <cellStyle name="Percent 4" xfId="171"/>
    <cellStyle name="Percent 5" xfId="172"/>
    <cellStyle name="Percent 6" xfId="173"/>
    <cellStyle name="Title" xfId="20" builtinId="15" customBuiltin="1"/>
    <cellStyle name="Total 2" xfId="174"/>
    <cellStyle name="Total 3" xfId="175"/>
    <cellStyle name="Warning Text 2" xfId="176"/>
    <cellStyle name="Warning Text 3" xfId="177"/>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externalLink" Target="externalLinks/externalLink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781050</xdr:colOff>
          <xdr:row>3</xdr:row>
          <xdr:rowOff>161925</xdr:rowOff>
        </xdr:to>
        <xdr:sp macro="" textlink="">
          <xdr:nvSpPr>
            <xdr:cNvPr id="36865" name="Object 1" hidden="1">
              <a:extLst>
                <a:ext uri="{63B3BB69-23CF-44E3-9099-C40C66FF867C}">
                  <a14:compatExt spid="_x0000_s3686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819150</xdr:colOff>
          <xdr:row>0</xdr:row>
          <xdr:rowOff>9525</xdr:rowOff>
        </xdr:from>
        <xdr:to>
          <xdr:col>1</xdr:col>
          <xdr:colOff>1733550</xdr:colOff>
          <xdr:row>3</xdr:row>
          <xdr:rowOff>171450</xdr:rowOff>
        </xdr:to>
        <xdr:sp macro="" textlink="">
          <xdr:nvSpPr>
            <xdr:cNvPr id="36866" name="Object 2" hidden="1">
              <a:extLst>
                <a:ext uri="{63B3BB69-23CF-44E3-9099-C40C66FF867C}">
                  <a14:compatExt spid="_x0000_s3686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28575</xdr:colOff>
          <xdr:row>4</xdr:row>
          <xdr:rowOff>38100</xdr:rowOff>
        </xdr:from>
        <xdr:to>
          <xdr:col>1</xdr:col>
          <xdr:colOff>819150</xdr:colOff>
          <xdr:row>8</xdr:row>
          <xdr:rowOff>19050</xdr:rowOff>
        </xdr:to>
        <xdr:sp macro="" textlink="">
          <xdr:nvSpPr>
            <xdr:cNvPr id="36868" name="Object 4" hidden="1">
              <a:extLst>
                <a:ext uri="{63B3BB69-23CF-44E3-9099-C40C66FF867C}">
                  <a14:compatExt spid="_x0000_s3686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1809750</xdr:colOff>
          <xdr:row>0</xdr:row>
          <xdr:rowOff>38100</xdr:rowOff>
        </xdr:from>
        <xdr:to>
          <xdr:col>1</xdr:col>
          <xdr:colOff>2724150</xdr:colOff>
          <xdr:row>4</xdr:row>
          <xdr:rowOff>28575</xdr:rowOff>
        </xdr:to>
        <xdr:sp macro="" textlink="">
          <xdr:nvSpPr>
            <xdr:cNvPr id="36869" name="Object 5" hidden="1">
              <a:extLst>
                <a:ext uri="{63B3BB69-23CF-44E3-9099-C40C66FF867C}">
                  <a14:compatExt spid="_x0000_s3686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28</xdr:row>
      <xdr:rowOff>0</xdr:rowOff>
    </xdr:from>
    <xdr:to>
      <xdr:col>2</xdr:col>
      <xdr:colOff>76200</xdr:colOff>
      <xdr:row>29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27</xdr:row>
      <xdr:rowOff>0</xdr:rowOff>
    </xdr:from>
    <xdr:to>
      <xdr:col>2</xdr:col>
      <xdr:colOff>0</xdr:colOff>
      <xdr:row>27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Fieldwork\East%20St.%20Louis%20School%20District%20189%20AUD%206-30-18%20(Sync)\Copy%20of%202018%20AFR%20Form-1%20(002)_final.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8"/>
      <sheetName val="Single Audit Cover"/>
      <sheetName val="Single Audit Checklist"/>
      <sheetName val="SEFA Reconcile"/>
      <sheetName val="SEFA NOTES"/>
      <sheetName val=" SEFA"/>
      <sheetName val="SF&amp;QC Sec-1"/>
      <sheetName val="SF&amp;QC Sec-2"/>
      <sheetName val="SF&amp;QC Sec-3"/>
      <sheetName val="SSPAF"/>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row r="4">
          <cell r="A4" t="str">
            <v>Year Ending June 30, 2018</v>
          </cell>
        </row>
        <row r="7">
          <cell r="E7" t="str">
            <v>50082189022</v>
          </cell>
        </row>
      </sheetData>
      <sheetData sheetId="25"/>
      <sheetData sheetId="26"/>
      <sheetData sheetId="27"/>
      <sheetData sheetId="28"/>
      <sheetData sheetId="29"/>
      <sheetData sheetId="30"/>
      <sheetData sheetId="31"/>
      <sheetData sheetId="32"/>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rgb="FFFF0000"/>
  </sheetPr>
  <dimension ref="A1:AB48"/>
  <sheetViews>
    <sheetView showGridLines="0" tabSelected="1" zoomScale="110" zoomScaleNormal="110" workbookViewId="0">
      <selection activeCell="I22" sqref="I22:S22"/>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84" t="s">
        <v>424</v>
      </c>
      <c r="J1" s="2085"/>
      <c r="K1" s="2085"/>
      <c r="L1" s="2085"/>
      <c r="M1" s="2085"/>
      <c r="N1" s="2085"/>
      <c r="O1" s="2085"/>
      <c r="P1" s="2085"/>
      <c r="Q1" s="2085"/>
      <c r="R1" s="2085"/>
      <c r="S1" s="2085"/>
    </row>
    <row r="2" spans="1:28" ht="12" customHeight="1" x14ac:dyDescent="0.2">
      <c r="A2" s="47" t="s">
        <v>1683</v>
      </c>
      <c r="D2" s="48"/>
      <c r="I2" s="2086" t="s">
        <v>1035</v>
      </c>
      <c r="J2" s="2085"/>
      <c r="K2" s="2085"/>
      <c r="L2" s="2085"/>
      <c r="M2" s="2085"/>
      <c r="N2" s="2085"/>
      <c r="O2" s="2085"/>
      <c r="P2" s="2085"/>
      <c r="Q2" s="2085"/>
      <c r="R2" s="2085"/>
      <c r="S2" s="2085"/>
    </row>
    <row r="3" spans="1:28" ht="12" customHeight="1" x14ac:dyDescent="0.2">
      <c r="A3" s="151" t="s">
        <v>1684</v>
      </c>
      <c r="B3" s="152"/>
      <c r="C3" s="152"/>
      <c r="D3" s="153"/>
      <c r="I3" s="2086" t="s">
        <v>54</v>
      </c>
      <c r="J3" s="2085"/>
      <c r="K3" s="2085"/>
      <c r="L3" s="2085"/>
      <c r="M3" s="2085"/>
      <c r="N3" s="2085"/>
      <c r="O3" s="2085"/>
      <c r="P3" s="2085"/>
      <c r="Q3" s="2085"/>
      <c r="R3" s="2085"/>
      <c r="S3" s="2085"/>
    </row>
    <row r="4" spans="1:28" ht="12" customHeight="1" x14ac:dyDescent="0.2">
      <c r="A4" s="37"/>
      <c r="I4" s="2086" t="s">
        <v>544</v>
      </c>
      <c r="J4" s="2085"/>
      <c r="K4" s="2085"/>
      <c r="L4" s="2085"/>
      <c r="M4" s="2085"/>
      <c r="N4" s="2085"/>
      <c r="O4" s="2085"/>
      <c r="P4" s="2085"/>
      <c r="Q4" s="2085"/>
      <c r="R4" s="2085"/>
      <c r="S4" s="2085"/>
    </row>
    <row r="5" spans="1:28" ht="14.1" customHeight="1" x14ac:dyDescent="0.2">
      <c r="B5" s="100" t="s">
        <v>2080</v>
      </c>
      <c r="C5" s="26" t="s">
        <v>965</v>
      </c>
      <c r="D5" s="81"/>
      <c r="E5" s="81"/>
      <c r="H5" s="38"/>
      <c r="I5" s="2093" t="s">
        <v>700</v>
      </c>
      <c r="J5" s="2042"/>
      <c r="K5" s="2042"/>
      <c r="L5" s="2042"/>
      <c r="M5" s="2042"/>
      <c r="N5" s="2042"/>
      <c r="O5" s="2042"/>
      <c r="P5" s="2042"/>
      <c r="Q5" s="2042"/>
      <c r="R5" s="2042"/>
      <c r="S5" s="2042"/>
    </row>
    <row r="6" spans="1:28" ht="14.1" customHeight="1" x14ac:dyDescent="0.2">
      <c r="B6" s="100"/>
      <c r="C6" s="26" t="s">
        <v>966</v>
      </c>
      <c r="D6" s="81"/>
      <c r="E6" s="81"/>
      <c r="I6" s="2092" t="s">
        <v>937</v>
      </c>
      <c r="J6" s="2042"/>
      <c r="K6" s="2042"/>
      <c r="L6" s="2042"/>
      <c r="M6" s="2042"/>
      <c r="N6" s="2042"/>
      <c r="O6" s="2042"/>
      <c r="P6" s="2042"/>
      <c r="Q6" s="2042"/>
      <c r="R6" s="2042"/>
      <c r="S6" s="2042"/>
    </row>
    <row r="7" spans="1:28" ht="12.2" customHeight="1" x14ac:dyDescent="0.2">
      <c r="I7" s="2087">
        <v>43281</v>
      </c>
      <c r="J7" s="2088"/>
      <c r="K7" s="2088"/>
      <c r="L7" s="2088"/>
      <c r="M7" s="2088"/>
      <c r="N7" s="2088"/>
      <c r="O7" s="2088"/>
      <c r="P7" s="2088"/>
      <c r="Q7" s="2088"/>
      <c r="R7" s="2088"/>
      <c r="S7" s="2088"/>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89" t="s">
        <v>694</v>
      </c>
      <c r="J9" s="2090"/>
      <c r="K9" s="2090"/>
      <c r="L9" s="2090"/>
      <c r="M9" s="2090"/>
      <c r="N9" s="2090"/>
      <c r="O9" s="2090"/>
      <c r="P9" s="2090"/>
      <c r="Q9" s="2090"/>
      <c r="R9" s="2090"/>
      <c r="S9" s="2091"/>
      <c r="T9" s="2038" t="s">
        <v>553</v>
      </c>
      <c r="U9" s="2039"/>
      <c r="V9" s="2039"/>
      <c r="W9" s="2039"/>
      <c r="X9" s="2039"/>
      <c r="Y9" s="2039"/>
      <c r="Z9" s="2039"/>
      <c r="AA9" s="2040"/>
    </row>
    <row r="10" spans="1:28" ht="13.5" customHeight="1" x14ac:dyDescent="0.2">
      <c r="A10" s="2047" t="s">
        <v>695</v>
      </c>
      <c r="B10" s="2048"/>
      <c r="C10" s="2048"/>
      <c r="D10" s="2048"/>
      <c r="E10" s="2048"/>
      <c r="F10" s="2048"/>
      <c r="G10" s="2048"/>
      <c r="H10" s="2049"/>
      <c r="I10" s="29"/>
      <c r="J10" s="30"/>
      <c r="K10" s="28"/>
      <c r="R10" s="30"/>
      <c r="S10" s="30"/>
      <c r="T10" s="2041"/>
      <c r="U10" s="2042"/>
      <c r="V10" s="2042"/>
      <c r="W10" s="2042"/>
      <c r="X10" s="2042"/>
      <c r="Y10" s="2042"/>
      <c r="Z10" s="2042"/>
      <c r="AA10" s="2043"/>
    </row>
    <row r="11" spans="1:28" ht="14.25" customHeight="1" x14ac:dyDescent="0.2">
      <c r="A11" s="2050" t="s">
        <v>1011</v>
      </c>
      <c r="B11" s="2051"/>
      <c r="C11" s="2051"/>
      <c r="D11" s="2051"/>
      <c r="E11" s="2051"/>
      <c r="F11" s="2051"/>
      <c r="G11" s="2051"/>
      <c r="H11" s="2052"/>
      <c r="I11" s="27"/>
      <c r="J11" s="71"/>
      <c r="K11" s="27"/>
      <c r="O11" s="144"/>
      <c r="P11" s="96" t="s">
        <v>210</v>
      </c>
      <c r="Q11" s="30"/>
      <c r="R11" s="28"/>
      <c r="S11" s="27"/>
      <c r="T11" s="2044"/>
      <c r="U11" s="2045"/>
      <c r="V11" s="2045"/>
      <c r="W11" s="2045"/>
      <c r="X11" s="2045"/>
      <c r="Y11" s="2045"/>
      <c r="Z11" s="2045"/>
      <c r="AA11" s="2046"/>
    </row>
    <row r="12" spans="1:28" ht="13.5" customHeight="1" x14ac:dyDescent="0.2">
      <c r="A12" s="82" t="s">
        <v>981</v>
      </c>
      <c r="B12" s="73"/>
      <c r="C12" s="73"/>
      <c r="D12" s="73"/>
      <c r="E12" s="73"/>
      <c r="F12" s="73"/>
      <c r="G12" s="73"/>
      <c r="H12" s="53"/>
      <c r="I12" s="29"/>
      <c r="J12" s="30"/>
      <c r="K12" s="28"/>
      <c r="O12" s="145" t="s">
        <v>2080</v>
      </c>
      <c r="P12" s="96" t="s">
        <v>211</v>
      </c>
      <c r="Q12" s="71"/>
      <c r="R12" s="30"/>
      <c r="S12" s="30"/>
      <c r="T12" s="82" t="s">
        <v>282</v>
      </c>
      <c r="U12" s="51"/>
      <c r="V12" s="51"/>
      <c r="W12" s="51"/>
      <c r="X12" s="51"/>
      <c r="Y12" s="45"/>
      <c r="Z12" s="45"/>
      <c r="AA12" s="46"/>
    </row>
    <row r="13" spans="1:28" ht="13.5" customHeight="1" x14ac:dyDescent="0.2">
      <c r="A13" s="2058">
        <v>9010004026</v>
      </c>
      <c r="B13" s="2059"/>
      <c r="C13" s="2059"/>
      <c r="D13" s="2059"/>
      <c r="E13" s="2059"/>
      <c r="F13" s="2059"/>
      <c r="G13" s="2059"/>
      <c r="H13" s="2060"/>
      <c r="I13" s="31"/>
      <c r="J13" s="30"/>
      <c r="K13" s="28"/>
      <c r="L13" s="30"/>
      <c r="M13" s="30"/>
      <c r="N13" s="30"/>
      <c r="O13" s="30"/>
      <c r="P13" s="30"/>
      <c r="Q13" s="30"/>
      <c r="R13" s="30"/>
      <c r="S13" s="30"/>
      <c r="T13" s="2064" t="s">
        <v>2073</v>
      </c>
      <c r="U13" s="2065"/>
      <c r="V13" s="2065"/>
      <c r="W13" s="2065"/>
      <c r="X13" s="2065"/>
      <c r="Y13" s="2066"/>
      <c r="Z13" s="2066"/>
      <c r="AA13" s="2067"/>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58" t="s">
        <v>2283</v>
      </c>
      <c r="B15" s="2059"/>
      <c r="C15" s="2059"/>
      <c r="D15" s="2059"/>
      <c r="E15" s="2059"/>
      <c r="F15" s="2059"/>
      <c r="G15" s="2059"/>
      <c r="H15" s="2060"/>
      <c r="T15" s="2024" t="s">
        <v>2084</v>
      </c>
      <c r="U15" s="2025"/>
      <c r="V15" s="2025"/>
      <c r="W15" s="2025"/>
      <c r="X15" s="2025"/>
      <c r="Y15" s="2068"/>
      <c r="Z15" s="2068"/>
      <c r="AA15" s="2069"/>
    </row>
    <row r="16" spans="1:28" ht="13.5" customHeight="1" x14ac:dyDescent="0.2">
      <c r="A16" s="1816" t="s">
        <v>735</v>
      </c>
      <c r="B16" s="1818"/>
      <c r="C16" s="1818"/>
      <c r="D16" s="1818"/>
      <c r="E16" s="1818"/>
      <c r="F16" s="1818"/>
      <c r="G16" s="1818"/>
      <c r="H16" s="1817"/>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53" t="s">
        <v>2284</v>
      </c>
      <c r="B17" s="2033"/>
      <c r="C17" s="2033"/>
      <c r="D17" s="2033"/>
      <c r="E17" s="2033"/>
      <c r="F17" s="2033"/>
      <c r="G17" s="2033"/>
      <c r="H17" s="2034"/>
      <c r="T17" s="2073" t="s">
        <v>2074</v>
      </c>
      <c r="U17" s="2074"/>
      <c r="V17" s="2074"/>
      <c r="W17" s="2074"/>
      <c r="X17" s="2074"/>
      <c r="Y17" s="2074"/>
      <c r="Z17" s="2074"/>
      <c r="AA17" s="2075"/>
    </row>
    <row r="18" spans="1:27" ht="13.5" customHeight="1" x14ac:dyDescent="0.2">
      <c r="A18" s="1816" t="s">
        <v>550</v>
      </c>
      <c r="B18" s="1818"/>
      <c r="C18" s="1818"/>
      <c r="D18" s="69"/>
      <c r="E18" s="69"/>
      <c r="F18" s="69"/>
      <c r="G18" s="69"/>
      <c r="H18" s="56"/>
      <c r="I18" s="2081" t="s">
        <v>696</v>
      </c>
      <c r="J18" s="2082"/>
      <c r="K18" s="2082"/>
      <c r="L18" s="2082"/>
      <c r="M18" s="2082"/>
      <c r="N18" s="2082"/>
      <c r="O18" s="2082"/>
      <c r="P18" s="2082"/>
      <c r="Q18" s="2082"/>
      <c r="R18" s="2082"/>
      <c r="S18" s="2083"/>
      <c r="T18" s="82" t="s">
        <v>734</v>
      </c>
      <c r="U18" s="51"/>
      <c r="V18" s="69"/>
      <c r="W18" s="50"/>
      <c r="X18" s="82" t="s">
        <v>283</v>
      </c>
      <c r="Y18" s="78"/>
      <c r="Z18" s="155" t="s">
        <v>697</v>
      </c>
      <c r="AA18" s="46"/>
    </row>
    <row r="19" spans="1:27" ht="13.5" customHeight="1" x14ac:dyDescent="0.2">
      <c r="A19" s="2016" t="s">
        <v>2285</v>
      </c>
      <c r="B19" s="2056"/>
      <c r="C19" s="2056"/>
      <c r="D19" s="2056"/>
      <c r="E19" s="2056"/>
      <c r="F19" s="2056"/>
      <c r="G19" s="2056"/>
      <c r="H19" s="2057"/>
      <c r="I19" s="30"/>
      <c r="J19" s="95"/>
      <c r="K19" s="40"/>
      <c r="L19" s="38"/>
      <c r="M19" s="108" t="s">
        <v>332</v>
      </c>
      <c r="P19" s="27"/>
      <c r="Q19" s="27"/>
      <c r="R19" s="27"/>
      <c r="S19" s="31"/>
      <c r="T19" s="2061" t="s">
        <v>2075</v>
      </c>
      <c r="U19" s="2062"/>
      <c r="V19" s="2062"/>
      <c r="W19" s="2063"/>
      <c r="X19" s="2071" t="s">
        <v>2076</v>
      </c>
      <c r="Y19" s="2072"/>
      <c r="Z19" s="2070">
        <v>60523</v>
      </c>
      <c r="AA19" s="2055"/>
    </row>
    <row r="20" spans="1:27" ht="13.5" customHeight="1" x14ac:dyDescent="0.2">
      <c r="A20" s="1816" t="s">
        <v>734</v>
      </c>
      <c r="B20" s="1818"/>
      <c r="C20" s="69"/>
      <c r="D20" s="1818"/>
      <c r="E20" s="1818"/>
      <c r="F20" s="1818"/>
      <c r="G20" s="1818"/>
      <c r="H20" s="56"/>
      <c r="M20" s="107"/>
      <c r="N20" s="28"/>
      <c r="P20" s="28"/>
      <c r="Q20" s="28"/>
      <c r="R20" s="28"/>
      <c r="T20" s="82" t="s">
        <v>284</v>
      </c>
      <c r="U20" s="51"/>
      <c r="V20" s="69"/>
      <c r="W20" s="51"/>
      <c r="X20" s="156" t="s">
        <v>983</v>
      </c>
      <c r="Z20" s="45"/>
      <c r="AA20" s="46"/>
    </row>
    <row r="21" spans="1:27" ht="13.5" customHeight="1" x14ac:dyDescent="0.2">
      <c r="A21" s="2053" t="s">
        <v>2283</v>
      </c>
      <c r="B21" s="2054"/>
      <c r="C21" s="2054"/>
      <c r="D21" s="2054"/>
      <c r="E21" s="2054"/>
      <c r="F21" s="2054"/>
      <c r="G21" s="2054"/>
      <c r="H21" s="2055"/>
      <c r="I21" s="2077" t="s">
        <v>698</v>
      </c>
      <c r="J21" s="2042"/>
      <c r="K21" s="2042"/>
      <c r="L21" s="2042"/>
      <c r="M21" s="2042"/>
      <c r="N21" s="2042"/>
      <c r="O21" s="2042"/>
      <c r="P21" s="2042"/>
      <c r="Q21" s="2042"/>
      <c r="R21" s="2042"/>
      <c r="S21" s="2043"/>
      <c r="T21" s="2021" t="s">
        <v>2077</v>
      </c>
      <c r="U21" s="2022"/>
      <c r="V21" s="2022"/>
      <c r="W21" s="2022"/>
      <c r="X21" s="2035" t="s">
        <v>2078</v>
      </c>
      <c r="Y21" s="2036"/>
      <c r="Z21" s="2036"/>
      <c r="AA21" s="2037"/>
    </row>
    <row r="22" spans="1:27" ht="13.5" customHeight="1" x14ac:dyDescent="0.2">
      <c r="A22" s="83" t="s">
        <v>551</v>
      </c>
      <c r="B22" s="1819"/>
      <c r="C22" s="1819"/>
      <c r="D22" s="1819"/>
      <c r="E22" s="1819"/>
      <c r="F22" s="1819"/>
      <c r="G22" s="1819"/>
      <c r="H22" s="59"/>
      <c r="I22" s="2078" t="s">
        <v>1503</v>
      </c>
      <c r="J22" s="2079"/>
      <c r="K22" s="2079"/>
      <c r="L22" s="2079"/>
      <c r="M22" s="2079"/>
      <c r="N22" s="2079"/>
      <c r="O22" s="2079"/>
      <c r="P22" s="2079"/>
      <c r="Q22" s="2079"/>
      <c r="R22" s="2079"/>
      <c r="S22" s="2080"/>
      <c r="T22" s="82" t="s">
        <v>1595</v>
      </c>
      <c r="U22" s="51"/>
      <c r="V22" s="69"/>
      <c r="W22" s="51"/>
      <c r="X22" s="156" t="s">
        <v>1384</v>
      </c>
      <c r="Z22" s="45"/>
      <c r="AA22" s="46"/>
    </row>
    <row r="23" spans="1:27" ht="13.5" customHeight="1" x14ac:dyDescent="0.2">
      <c r="A23" s="2076"/>
      <c r="B23" s="2072"/>
      <c r="C23" s="2072"/>
      <c r="D23" s="2072"/>
      <c r="E23" s="2072"/>
      <c r="F23" s="2072"/>
      <c r="G23" s="2072"/>
      <c r="H23" s="2055"/>
      <c r="T23" s="2016" t="s">
        <v>2079</v>
      </c>
      <c r="U23" s="2017"/>
      <c r="V23" s="2017"/>
      <c r="W23" s="2017"/>
      <c r="X23" s="2032"/>
      <c r="Y23" s="2033"/>
      <c r="Z23" s="2033"/>
      <c r="AA23" s="2034"/>
    </row>
    <row r="24" spans="1:27" ht="14.1" customHeight="1" x14ac:dyDescent="0.2">
      <c r="A24" s="84" t="s">
        <v>697</v>
      </c>
      <c r="B24" s="49"/>
      <c r="C24" s="49"/>
      <c r="D24" s="49"/>
      <c r="E24" s="49"/>
      <c r="F24" s="49"/>
      <c r="G24" s="49"/>
      <c r="H24" s="58"/>
      <c r="J24" s="2116">
        <f>IF(B5="x",IF(AUDITCHECK!D29="AFR form Incomplete.","",IF(AUDITCHECK!D29="Deficit reduction plan is required.","School District must complete a deficit reduction plan in the 2018-2019 Budget",)),"")</f>
        <v>0</v>
      </c>
      <c r="K24" s="2116"/>
      <c r="L24" s="2116"/>
      <c r="M24" s="2116"/>
      <c r="N24" s="2116"/>
      <c r="O24" s="2116"/>
      <c r="P24" s="2116"/>
      <c r="Q24" s="2116"/>
      <c r="R24" s="2116"/>
      <c r="S24" s="2117"/>
      <c r="T24" s="101" t="s">
        <v>551</v>
      </c>
      <c r="U24" s="102"/>
      <c r="V24" s="102"/>
      <c r="W24" s="102"/>
      <c r="X24" s="103"/>
      <c r="Y24" s="103"/>
      <c r="Z24" s="103"/>
      <c r="AA24" s="104"/>
    </row>
    <row r="25" spans="1:27" ht="14.1" customHeight="1" x14ac:dyDescent="0.2">
      <c r="A25" s="2105">
        <v>61820</v>
      </c>
      <c r="B25" s="2062"/>
      <c r="C25" s="2062"/>
      <c r="D25" s="2062"/>
      <c r="E25" s="2062"/>
      <c r="F25" s="2062"/>
      <c r="G25" s="2062"/>
      <c r="H25" s="2063"/>
      <c r="I25" s="109"/>
      <c r="J25" s="2118"/>
      <c r="K25" s="2118"/>
      <c r="L25" s="2118"/>
      <c r="M25" s="2118"/>
      <c r="N25" s="2118"/>
      <c r="O25" s="2118"/>
      <c r="P25" s="2118"/>
      <c r="Q25" s="2118"/>
      <c r="R25" s="2118"/>
      <c r="S25" s="2119"/>
      <c r="T25" s="2013" t="s">
        <v>2085</v>
      </c>
      <c r="U25" s="2014"/>
      <c r="V25" s="2014"/>
      <c r="W25" s="2014"/>
      <c r="X25" s="2014"/>
      <c r="Y25" s="2014"/>
      <c r="Z25" s="2014"/>
      <c r="AA25" s="2015"/>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108" t="s">
        <v>1590</v>
      </c>
      <c r="J27" s="2082"/>
      <c r="K27" s="2082"/>
      <c r="L27" s="2082"/>
      <c r="M27" s="2082"/>
      <c r="N27" s="2082"/>
      <c r="O27" s="2082"/>
      <c r="P27" s="2082"/>
      <c r="Q27" s="2082"/>
      <c r="R27" s="2082"/>
      <c r="S27" s="2083"/>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2080</v>
      </c>
      <c r="F29" s="137" t="s">
        <v>1382</v>
      </c>
      <c r="G29" s="110"/>
      <c r="I29" s="54"/>
      <c r="J29" s="144" t="s">
        <v>2080</v>
      </c>
      <c r="K29" s="28" t="s">
        <v>596</v>
      </c>
      <c r="L29" s="98"/>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2080</v>
      </c>
      <c r="K30" s="28" t="s">
        <v>596</v>
      </c>
      <c r="L30" s="98"/>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2080</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115"/>
      <c r="Q35" s="2062"/>
      <c r="R35" s="2062"/>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16" t="s">
        <v>2081</v>
      </c>
      <c r="B38" s="2056"/>
      <c r="C38" s="2056"/>
      <c r="D38" s="2056"/>
      <c r="E38" s="2056"/>
      <c r="F38" s="2062"/>
      <c r="G38" s="2062"/>
      <c r="H38" s="2063"/>
      <c r="I38" s="2101"/>
      <c r="J38" s="2025"/>
      <c r="K38" s="2025"/>
      <c r="L38" s="2025"/>
      <c r="M38" s="2025"/>
      <c r="N38" s="2025"/>
      <c r="O38" s="2025"/>
      <c r="P38" s="2026"/>
      <c r="Q38" s="2026"/>
      <c r="R38" s="2026"/>
      <c r="S38" s="2027"/>
      <c r="T38" s="2024"/>
      <c r="U38" s="2025"/>
      <c r="V38" s="2025"/>
      <c r="W38" s="2025"/>
      <c r="X38" s="2026"/>
      <c r="Y38" s="2026"/>
      <c r="Z38" s="2026"/>
      <c r="AA38" s="2027"/>
    </row>
    <row r="39" spans="1:27" ht="12" customHeight="1" x14ac:dyDescent="0.2">
      <c r="A39" s="2106" t="s">
        <v>551</v>
      </c>
      <c r="B39" s="2107"/>
      <c r="C39" s="69"/>
      <c r="D39" s="66"/>
      <c r="E39" s="66"/>
      <c r="F39" s="76"/>
      <c r="G39" s="66"/>
      <c r="H39" s="56"/>
      <c r="I39" s="2106" t="s">
        <v>551</v>
      </c>
      <c r="J39" s="2107"/>
      <c r="K39" s="2107"/>
      <c r="L39" s="2107"/>
      <c r="M39" s="2107"/>
      <c r="N39" s="64"/>
      <c r="O39" s="69"/>
      <c r="P39" s="69"/>
      <c r="Q39" s="75"/>
      <c r="R39" s="69"/>
      <c r="S39" s="56"/>
      <c r="T39" s="69" t="s">
        <v>551</v>
      </c>
      <c r="U39" s="51"/>
      <c r="V39" s="69"/>
      <c r="W39" s="50"/>
      <c r="X39" s="75"/>
      <c r="Y39" s="45"/>
      <c r="Z39" s="45"/>
      <c r="AA39" s="46"/>
    </row>
    <row r="40" spans="1:27" ht="13.5" customHeight="1" x14ac:dyDescent="0.2">
      <c r="A40" s="2109" t="s">
        <v>2082</v>
      </c>
      <c r="B40" s="2110"/>
      <c r="C40" s="2111"/>
      <c r="D40" s="2111"/>
      <c r="E40" s="2111"/>
      <c r="F40" s="2112"/>
      <c r="G40" s="2112"/>
      <c r="H40" s="2113"/>
      <c r="I40" s="2028"/>
      <c r="J40" s="2030"/>
      <c r="K40" s="2030"/>
      <c r="L40" s="2030"/>
      <c r="M40" s="2030"/>
      <c r="N40" s="2030"/>
      <c r="O40" s="2030"/>
      <c r="P40" s="2030"/>
      <c r="Q40" s="2030"/>
      <c r="R40" s="2030"/>
      <c r="S40" s="2031"/>
      <c r="T40" s="2028"/>
      <c r="U40" s="2029"/>
      <c r="V40" s="2030"/>
      <c r="W40" s="2030"/>
      <c r="X40" s="2030"/>
      <c r="Y40" s="2030"/>
      <c r="Z40" s="2030"/>
      <c r="AA40" s="2031"/>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98" t="s">
        <v>2083</v>
      </c>
      <c r="B42" s="2099"/>
      <c r="C42" s="2100"/>
      <c r="D42" s="2114"/>
      <c r="E42" s="2099"/>
      <c r="F42" s="2099"/>
      <c r="G42" s="2099"/>
      <c r="H42" s="2100"/>
      <c r="I42" s="2023"/>
      <c r="J42" s="2019"/>
      <c r="K42" s="2019"/>
      <c r="L42" s="2019"/>
      <c r="M42" s="2019"/>
      <c r="N42" s="2019"/>
      <c r="O42" s="2020"/>
      <c r="P42" s="2018"/>
      <c r="Q42" s="2019"/>
      <c r="R42" s="2019"/>
      <c r="S42" s="2020"/>
      <c r="T42" s="2023"/>
      <c r="U42" s="2019"/>
      <c r="V42" s="2019"/>
      <c r="W42" s="2020"/>
      <c r="X42" s="2018"/>
      <c r="Y42" s="2019"/>
      <c r="Z42" s="2019"/>
      <c r="AA42" s="2020"/>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102"/>
      <c r="B44" s="2103"/>
      <c r="C44" s="2103"/>
      <c r="D44" s="2103"/>
      <c r="E44" s="2103"/>
      <c r="F44" s="2103"/>
      <c r="G44" s="2103"/>
      <c r="H44" s="2104"/>
      <c r="I44" s="2094"/>
      <c r="J44" s="2096"/>
      <c r="K44" s="2096"/>
      <c r="L44" s="2096"/>
      <c r="M44" s="2096"/>
      <c r="N44" s="2096"/>
      <c r="O44" s="2096"/>
      <c r="P44" s="2096"/>
      <c r="Q44" s="2096"/>
      <c r="R44" s="2096"/>
      <c r="S44" s="2097"/>
      <c r="T44" s="2094"/>
      <c r="U44" s="2095"/>
      <c r="V44" s="2095"/>
      <c r="W44" s="2095"/>
      <c r="X44" s="2095"/>
      <c r="Y44" s="2095"/>
      <c r="Z44" s="2096"/>
      <c r="AA44" s="2097"/>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2063</v>
      </c>
      <c r="R47" s="41"/>
      <c r="S47" s="41"/>
      <c r="T47" s="41"/>
      <c r="U47" s="41"/>
      <c r="V47" s="41"/>
      <c r="W47" s="41"/>
      <c r="X47" s="41"/>
      <c r="Y47" s="41"/>
      <c r="Z47" s="41"/>
      <c r="AA47" s="41"/>
    </row>
    <row r="48" spans="1:27" x14ac:dyDescent="0.2">
      <c r="Q48" s="41" t="s">
        <v>2064</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pageSetUpPr fitToPage="1"/>
  </sheetPr>
  <dimension ref="A1:I84"/>
  <sheetViews>
    <sheetView showGridLines="0" zoomScale="110" zoomScaleNormal="110" workbookViewId="0"/>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1967</v>
      </c>
      <c r="C4" s="158" t="s">
        <v>1230</v>
      </c>
      <c r="D4" s="165" t="s">
        <v>10</v>
      </c>
      <c r="E4" s="166" t="s">
        <v>22</v>
      </c>
    </row>
    <row r="5" spans="1:5" x14ac:dyDescent="0.2">
      <c r="A5" s="164" t="s">
        <v>1969</v>
      </c>
      <c r="C5" s="158" t="s">
        <v>1230</v>
      </c>
      <c r="D5" s="165" t="s">
        <v>10</v>
      </c>
      <c r="E5" s="166" t="s">
        <v>22</v>
      </c>
    </row>
    <row r="6" spans="1:5" x14ac:dyDescent="0.2">
      <c r="A6" s="164" t="s">
        <v>1968</v>
      </c>
      <c r="C6" s="158" t="s">
        <v>1230</v>
      </c>
      <c r="D6" s="163" t="s">
        <v>11</v>
      </c>
      <c r="E6" s="166" t="s">
        <v>997</v>
      </c>
    </row>
    <row r="7" spans="1:5" x14ac:dyDescent="0.2">
      <c r="A7" s="164" t="s">
        <v>1970</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1971</v>
      </c>
      <c r="C11" s="158" t="s">
        <v>1230</v>
      </c>
      <c r="D11" s="165" t="s">
        <v>14</v>
      </c>
      <c r="E11" s="166" t="s">
        <v>1217</v>
      </c>
    </row>
    <row r="12" spans="1:5" x14ac:dyDescent="0.2">
      <c r="B12" s="165" t="s">
        <v>1972</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1973</v>
      </c>
      <c r="C15" s="158" t="s">
        <v>1230</v>
      </c>
      <c r="D15" s="165" t="s">
        <v>17</v>
      </c>
      <c r="E15" s="166" t="s">
        <v>656</v>
      </c>
    </row>
    <row r="16" spans="1:5" x14ac:dyDescent="0.2">
      <c r="A16" s="168"/>
      <c r="B16" s="158" t="s">
        <v>1974</v>
      </c>
      <c r="C16" s="158" t="s">
        <v>1230</v>
      </c>
      <c r="D16" s="165" t="s">
        <v>701</v>
      </c>
      <c r="E16" s="166" t="s">
        <v>1099</v>
      </c>
    </row>
    <row r="17" spans="1:5" x14ac:dyDescent="0.2">
      <c r="B17" s="163" t="s">
        <v>1044</v>
      </c>
      <c r="C17" s="158" t="s">
        <v>1230</v>
      </c>
    </row>
    <row r="18" spans="1:5" x14ac:dyDescent="0.2">
      <c r="B18" s="163" t="s">
        <v>1980</v>
      </c>
      <c r="D18" s="165" t="s">
        <v>18</v>
      </c>
      <c r="E18" s="166" t="s">
        <v>1100</v>
      </c>
    </row>
    <row r="19" spans="1:5" x14ac:dyDescent="0.2">
      <c r="A19" s="164" t="s">
        <v>1160</v>
      </c>
      <c r="C19" s="158" t="s">
        <v>1230</v>
      </c>
      <c r="D19" s="165"/>
      <c r="E19" s="167"/>
    </row>
    <row r="20" spans="1:5" x14ac:dyDescent="0.2">
      <c r="B20" s="163" t="s">
        <v>1975</v>
      </c>
      <c r="C20" s="158" t="s">
        <v>1230</v>
      </c>
      <c r="D20" s="165" t="s">
        <v>19</v>
      </c>
      <c r="E20" s="166" t="s">
        <v>53</v>
      </c>
    </row>
    <row r="21" spans="1:5" x14ac:dyDescent="0.2">
      <c r="B21" s="163" t="s">
        <v>1976</v>
      </c>
      <c r="C21" s="158" t="s">
        <v>1230</v>
      </c>
      <c r="D21" s="165" t="s">
        <v>20</v>
      </c>
      <c r="E21" s="166" t="s">
        <v>1707</v>
      </c>
    </row>
    <row r="22" spans="1:5" x14ac:dyDescent="0.2">
      <c r="A22" s="164"/>
      <c r="B22" s="158" t="s">
        <v>1964</v>
      </c>
      <c r="C22" s="158" t="s">
        <v>1230</v>
      </c>
      <c r="D22" s="163" t="s">
        <v>1966</v>
      </c>
      <c r="E22" s="1722" t="s">
        <v>1708</v>
      </c>
    </row>
    <row r="23" spans="1:5" x14ac:dyDescent="0.2">
      <c r="A23" s="164"/>
      <c r="B23" s="158" t="s">
        <v>1965</v>
      </c>
      <c r="D23" s="163" t="s">
        <v>657</v>
      </c>
      <c r="E23" s="1722" t="s">
        <v>1015</v>
      </c>
    </row>
    <row r="24" spans="1:5" x14ac:dyDescent="0.2">
      <c r="A24" s="164" t="s">
        <v>1706</v>
      </c>
      <c r="C24" s="158" t="s">
        <v>1230</v>
      </c>
      <c r="D24" s="163" t="s">
        <v>1459</v>
      </c>
      <c r="E24" s="166" t="s">
        <v>1016</v>
      </c>
    </row>
    <row r="25" spans="1:5" x14ac:dyDescent="0.2">
      <c r="A25" s="164" t="s">
        <v>1977</v>
      </c>
      <c r="C25" s="158" t="s">
        <v>1230</v>
      </c>
      <c r="D25" s="165" t="s">
        <v>21</v>
      </c>
      <c r="E25" s="166" t="s">
        <v>1101</v>
      </c>
    </row>
    <row r="26" spans="1:5" x14ac:dyDescent="0.2">
      <c r="A26" s="164" t="s">
        <v>1978</v>
      </c>
      <c r="C26" s="158" t="s">
        <v>1230</v>
      </c>
      <c r="D26" s="165" t="s">
        <v>583</v>
      </c>
      <c r="E26" s="166" t="s">
        <v>1102</v>
      </c>
    </row>
    <row r="27" spans="1:5" x14ac:dyDescent="0.2">
      <c r="A27" s="164" t="s">
        <v>1979</v>
      </c>
      <c r="C27" s="158" t="s">
        <v>1230</v>
      </c>
      <c r="D27" s="165" t="s">
        <v>577</v>
      </c>
      <c r="E27" s="166" t="s">
        <v>703</v>
      </c>
    </row>
    <row r="28" spans="1:5" x14ac:dyDescent="0.2">
      <c r="A28" s="164" t="s">
        <v>1981</v>
      </c>
      <c r="D28" s="165" t="s">
        <v>704</v>
      </c>
      <c r="E28" s="166" t="s">
        <v>1432</v>
      </c>
    </row>
    <row r="29" spans="1:5" x14ac:dyDescent="0.2">
      <c r="A29" s="164" t="s">
        <v>1982</v>
      </c>
      <c r="D29" s="165" t="s">
        <v>1460</v>
      </c>
      <c r="E29" s="166" t="s">
        <v>1441</v>
      </c>
    </row>
    <row r="30" spans="1:5" x14ac:dyDescent="0.2">
      <c r="A30" s="169" t="s">
        <v>1983</v>
      </c>
      <c r="C30" s="158" t="s">
        <v>1230</v>
      </c>
      <c r="D30" s="165" t="s">
        <v>42</v>
      </c>
      <c r="E30" s="166" t="s">
        <v>1038</v>
      </c>
    </row>
    <row r="31" spans="1:5" x14ac:dyDescent="0.2">
      <c r="A31" s="164" t="s">
        <v>1601</v>
      </c>
      <c r="C31" s="158" t="s">
        <v>1230</v>
      </c>
      <c r="D31" s="163"/>
      <c r="E31" s="167"/>
    </row>
    <row r="32" spans="1:5" x14ac:dyDescent="0.2">
      <c r="B32" s="163" t="s">
        <v>1984</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123" t="s">
        <v>1124</v>
      </c>
      <c r="B35" s="2123"/>
      <c r="C35" s="2123"/>
      <c r="D35" s="2123"/>
      <c r="E35" s="2123"/>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120" t="s">
        <v>714</v>
      </c>
      <c r="B40" s="2120"/>
      <c r="C40" s="2120"/>
      <c r="D40" s="2120"/>
      <c r="E40" s="2120"/>
    </row>
    <row r="41" spans="1:5" x14ac:dyDescent="0.2">
      <c r="A41" s="2121" t="s">
        <v>1705</v>
      </c>
      <c r="B41" s="2121"/>
      <c r="C41" s="2121"/>
      <c r="D41" s="2121"/>
      <c r="E41" s="2121"/>
    </row>
    <row r="42" spans="1:5" ht="12.75" customHeight="1" x14ac:dyDescent="0.2">
      <c r="A42" s="2122" t="s">
        <v>1079</v>
      </c>
      <c r="B42" s="2122"/>
      <c r="C42" s="2122"/>
      <c r="D42" s="2122"/>
      <c r="E42" s="2122"/>
    </row>
    <row r="43" spans="1:5" ht="6.75" customHeight="1" x14ac:dyDescent="0.2">
      <c r="A43" s="163"/>
      <c r="B43" s="172"/>
    </row>
    <row r="44" spans="1:5" x14ac:dyDescent="0.2">
      <c r="A44" s="181" t="s">
        <v>1039</v>
      </c>
      <c r="B44" s="182" t="s">
        <v>2014</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1870</v>
      </c>
    </row>
    <row r="52" spans="1:3" x14ac:dyDescent="0.2">
      <c r="A52" s="186"/>
      <c r="B52" s="184" t="s">
        <v>1890</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1871</v>
      </c>
    </row>
    <row r="57" spans="1:3" x14ac:dyDescent="0.2">
      <c r="A57" s="189"/>
      <c r="B57" s="186" t="s">
        <v>1873</v>
      </c>
    </row>
    <row r="58" spans="1:3" x14ac:dyDescent="0.2">
      <c r="A58" s="190"/>
      <c r="B58" s="186" t="s">
        <v>1874</v>
      </c>
    </row>
    <row r="59" spans="1:3" x14ac:dyDescent="0.2">
      <c r="A59" s="191"/>
      <c r="B59" s="1412" t="s">
        <v>1875</v>
      </c>
    </row>
    <row r="60" spans="1:3" x14ac:dyDescent="0.2">
      <c r="A60" s="192"/>
      <c r="B60" s="1412" t="s">
        <v>1876</v>
      </c>
    </row>
    <row r="61" spans="1:3" ht="6" customHeight="1" x14ac:dyDescent="0.2">
      <c r="A61" s="193"/>
      <c r="B61" s="185"/>
    </row>
    <row r="62" spans="1:3" x14ac:dyDescent="0.2">
      <c r="A62" s="165" t="s">
        <v>1713</v>
      </c>
      <c r="B62" s="194" t="s">
        <v>1872</v>
      </c>
    </row>
    <row r="63" spans="1:3" x14ac:dyDescent="0.2">
      <c r="A63" s="184"/>
      <c r="B63" s="165" t="s">
        <v>1887</v>
      </c>
    </row>
    <row r="64" spans="1:3" x14ac:dyDescent="0.2">
      <c r="A64" s="191"/>
      <c r="B64" s="1414" t="s">
        <v>1877</v>
      </c>
    </row>
    <row r="65" spans="1:9" x14ac:dyDescent="0.2">
      <c r="A65" s="184"/>
      <c r="B65" s="165" t="s">
        <v>1888</v>
      </c>
    </row>
    <row r="66" spans="1:9" x14ac:dyDescent="0.2">
      <c r="A66" s="186"/>
      <c r="B66" s="186" t="s">
        <v>1878</v>
      </c>
    </row>
    <row r="67" spans="1:9" ht="12" customHeight="1" x14ac:dyDescent="0.2">
      <c r="A67" s="184"/>
      <c r="B67" s="165" t="s">
        <v>1889</v>
      </c>
    </row>
    <row r="68" spans="1:9" x14ac:dyDescent="0.2">
      <c r="A68" s="185"/>
      <c r="B68" s="186" t="s">
        <v>1879</v>
      </c>
    </row>
    <row r="69" spans="1:9" x14ac:dyDescent="0.2">
      <c r="A69" s="186"/>
      <c r="B69" s="184" t="s">
        <v>1880</v>
      </c>
    </row>
    <row r="70" spans="1:9" ht="13.5" customHeight="1" x14ac:dyDescent="0.2">
      <c r="A70" s="186"/>
      <c r="B70" s="184" t="s">
        <v>1881</v>
      </c>
    </row>
    <row r="71" spans="1:9" ht="12" customHeight="1" x14ac:dyDescent="0.2">
      <c r="A71" s="188"/>
      <c r="B71" s="1413" t="s">
        <v>1716</v>
      </c>
    </row>
    <row r="72" spans="1:9" ht="9" customHeight="1" x14ac:dyDescent="0.2">
      <c r="A72" s="188"/>
      <c r="B72" s="195"/>
    </row>
    <row r="73" spans="1:9" x14ac:dyDescent="0.2">
      <c r="A73" s="185" t="s">
        <v>1717</v>
      </c>
      <c r="B73" s="165" t="s">
        <v>1883</v>
      </c>
    </row>
    <row r="74" spans="1:9" x14ac:dyDescent="0.2">
      <c r="A74" s="185"/>
      <c r="B74" s="165" t="s">
        <v>1882</v>
      </c>
    </row>
    <row r="75" spans="1:9" ht="8.25" customHeight="1" x14ac:dyDescent="0.2">
      <c r="A75" s="185"/>
      <c r="B75" s="185"/>
    </row>
    <row r="76" spans="1:9" ht="12.2" customHeight="1" x14ac:dyDescent="0.2">
      <c r="A76" s="185" t="s">
        <v>1718</v>
      </c>
      <c r="B76" s="194" t="s">
        <v>1884</v>
      </c>
    </row>
    <row r="77" spans="1:9" ht="12.2" customHeight="1" x14ac:dyDescent="0.2">
      <c r="A77" s="186"/>
      <c r="B77" s="165" t="s">
        <v>1719</v>
      </c>
      <c r="C77" s="175"/>
      <c r="D77" s="176"/>
      <c r="E77" s="177"/>
      <c r="F77" s="177"/>
      <c r="G77" s="177"/>
      <c r="H77" s="177"/>
      <c r="I77" s="177"/>
    </row>
    <row r="78" spans="1:9" ht="11.25" customHeight="1" x14ac:dyDescent="0.2">
      <c r="A78" s="186"/>
      <c r="B78" s="186" t="s">
        <v>1886</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1885</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rgb="FFFF0000"/>
  </sheetPr>
  <dimension ref="A1:K143"/>
  <sheetViews>
    <sheetView showGridLines="0" defaultGridColor="0" topLeftCell="A80" colorId="8" zoomScale="110" zoomScaleNormal="110" workbookViewId="0">
      <selection activeCell="B9" sqref="B9"/>
    </sheetView>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124" t="s">
        <v>1229</v>
      </c>
      <c r="B2" s="2124"/>
      <c r="C2" s="2124"/>
      <c r="D2" s="2124"/>
      <c r="E2" s="2124"/>
      <c r="F2" s="2124"/>
      <c r="G2" s="2124"/>
      <c r="H2" s="2124"/>
      <c r="I2" s="2124"/>
      <c r="J2" s="2124"/>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t="s">
        <v>2086</v>
      </c>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1892</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38" t="s">
        <v>1730</v>
      </c>
      <c r="B35" s="2139"/>
      <c r="C35" s="2139"/>
      <c r="D35" s="2139"/>
      <c r="E35" s="2140"/>
      <c r="F35" s="2140"/>
      <c r="G35" s="2140"/>
      <c r="H35" s="2140"/>
      <c r="I35" s="2140"/>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38" t="s">
        <v>330</v>
      </c>
      <c r="B47" s="2141"/>
      <c r="C47" s="2141"/>
      <c r="D47" s="2141"/>
      <c r="E47" s="2142"/>
      <c r="F47" s="2142"/>
      <c r="G47" s="2142"/>
      <c r="H47" s="2142"/>
      <c r="I47" s="2142"/>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2086</v>
      </c>
      <c r="C53" s="175">
        <v>22</v>
      </c>
      <c r="D53" s="243" t="s">
        <v>1536</v>
      </c>
      <c r="E53" s="244"/>
      <c r="F53" s="245"/>
      <c r="G53" s="245" t="s">
        <v>1535</v>
      </c>
      <c r="H53" s="246">
        <v>33512</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1891</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45"/>
      <c r="C57" s="2146"/>
      <c r="D57" s="2146"/>
      <c r="E57" s="2146"/>
      <c r="F57" s="2146"/>
      <c r="G57" s="2146"/>
      <c r="H57" s="2146"/>
      <c r="I57" s="2146"/>
      <c r="J57" s="2147"/>
    </row>
    <row r="58" spans="1:10" s="177" customFormat="1" x14ac:dyDescent="0.2">
      <c r="A58" s="249"/>
      <c r="B58" s="2148"/>
      <c r="C58" s="2149"/>
      <c r="D58" s="2149"/>
      <c r="E58" s="2149"/>
      <c r="F58" s="2149"/>
      <c r="G58" s="2149"/>
      <c r="H58" s="2149"/>
      <c r="I58" s="2149"/>
      <c r="J58" s="2150"/>
    </row>
    <row r="59" spans="1:10" s="177" customFormat="1" x14ac:dyDescent="0.2">
      <c r="A59" s="249"/>
      <c r="B59" s="2148"/>
      <c r="C59" s="2149"/>
      <c r="D59" s="2149"/>
      <c r="E59" s="2149"/>
      <c r="F59" s="2149"/>
      <c r="G59" s="2149"/>
      <c r="H59" s="2149"/>
      <c r="I59" s="2149"/>
      <c r="J59" s="2150"/>
    </row>
    <row r="60" spans="1:10" s="177" customFormat="1" x14ac:dyDescent="0.2">
      <c r="A60" s="249"/>
      <c r="B60" s="2148"/>
      <c r="C60" s="2149"/>
      <c r="D60" s="2149"/>
      <c r="E60" s="2149"/>
      <c r="F60" s="2149"/>
      <c r="G60" s="2149"/>
      <c r="H60" s="2149"/>
      <c r="I60" s="2149"/>
      <c r="J60" s="2150"/>
    </row>
    <row r="61" spans="1:10" s="177" customFormat="1" x14ac:dyDescent="0.2">
      <c r="A61" s="249"/>
      <c r="B61" s="2148"/>
      <c r="C61" s="2149"/>
      <c r="D61" s="2149"/>
      <c r="E61" s="2149"/>
      <c r="F61" s="2149"/>
      <c r="G61" s="2149"/>
      <c r="H61" s="2149"/>
      <c r="I61" s="2149"/>
      <c r="J61" s="2150"/>
    </row>
    <row r="62" spans="1:10" s="177" customFormat="1" x14ac:dyDescent="0.2">
      <c r="A62" s="249"/>
      <c r="B62" s="2148"/>
      <c r="C62" s="2149"/>
      <c r="D62" s="2149"/>
      <c r="E62" s="2149"/>
      <c r="F62" s="2149"/>
      <c r="G62" s="2149"/>
      <c r="H62" s="2149"/>
      <c r="I62" s="2149"/>
      <c r="J62" s="2150"/>
    </row>
    <row r="63" spans="1:10" s="177" customFormat="1" x14ac:dyDescent="0.2">
      <c r="A63" s="249"/>
      <c r="B63" s="2148"/>
      <c r="C63" s="2149"/>
      <c r="D63" s="2149"/>
      <c r="E63" s="2149"/>
      <c r="F63" s="2149"/>
      <c r="G63" s="2149"/>
      <c r="H63" s="2149"/>
      <c r="I63" s="2149"/>
      <c r="J63" s="2150"/>
    </row>
    <row r="64" spans="1:10" s="177" customFormat="1" x14ac:dyDescent="0.2">
      <c r="A64" s="249"/>
      <c r="B64" s="2148"/>
      <c r="C64" s="2149"/>
      <c r="D64" s="2149"/>
      <c r="E64" s="2149"/>
      <c r="F64" s="2149"/>
      <c r="G64" s="2149"/>
      <c r="H64" s="2149"/>
      <c r="I64" s="2149"/>
      <c r="J64" s="2150"/>
    </row>
    <row r="65" spans="1:10" s="177" customFormat="1" x14ac:dyDescent="0.2">
      <c r="A65" s="249"/>
      <c r="B65" s="2148"/>
      <c r="C65" s="2149"/>
      <c r="D65" s="2149"/>
      <c r="E65" s="2149"/>
      <c r="F65" s="2149"/>
      <c r="G65" s="2149"/>
      <c r="H65" s="2149"/>
      <c r="I65" s="2149"/>
      <c r="J65" s="2150"/>
    </row>
    <row r="66" spans="1:10" s="177" customFormat="1" x14ac:dyDescent="0.2">
      <c r="A66" s="249"/>
      <c r="B66" s="2148"/>
      <c r="C66" s="2149"/>
      <c r="D66" s="2149"/>
      <c r="E66" s="2149"/>
      <c r="F66" s="2149"/>
      <c r="G66" s="2149"/>
      <c r="H66" s="2149"/>
      <c r="I66" s="2149"/>
      <c r="J66" s="2150"/>
    </row>
    <row r="67" spans="1:10" s="177" customFormat="1" ht="9" customHeight="1" x14ac:dyDescent="0.2">
      <c r="A67" s="250"/>
      <c r="B67" s="2151"/>
      <c r="C67" s="2152"/>
      <c r="D67" s="2152"/>
      <c r="E67" s="2152"/>
      <c r="F67" s="2152"/>
      <c r="G67" s="2152"/>
      <c r="H67" s="2152"/>
      <c r="I67" s="2152"/>
      <c r="J67" s="2153"/>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38" t="s">
        <v>1389</v>
      </c>
      <c r="B70" s="2141"/>
      <c r="C70" s="2141"/>
      <c r="D70" s="2141"/>
      <c r="E70" s="2142"/>
      <c r="F70" s="2142"/>
      <c r="G70" s="2142"/>
      <c r="H70" s="2142"/>
      <c r="I70" s="2142"/>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2067</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2017</v>
      </c>
      <c r="I77" s="1724"/>
      <c r="J77" s="257">
        <v>43343</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43" t="s">
        <v>1386</v>
      </c>
      <c r="B83" s="2143"/>
      <c r="C83" s="2143"/>
      <c r="D83" s="2144"/>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2065</v>
      </c>
      <c r="B85" s="268"/>
      <c r="C85" s="269"/>
      <c r="D85" s="270"/>
      <c r="E85" s="271">
        <v>0</v>
      </c>
      <c r="F85" s="272">
        <v>515257</v>
      </c>
      <c r="G85" s="272">
        <v>266505</v>
      </c>
      <c r="H85" s="272">
        <v>152258</v>
      </c>
      <c r="I85" s="272">
        <v>0</v>
      </c>
      <c r="J85" s="273">
        <f>SUM(E85:I85)</f>
        <v>934020</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2065</v>
      </c>
      <c r="B88" s="282"/>
      <c r="C88" s="283"/>
      <c r="D88" s="284"/>
      <c r="E88" s="272">
        <v>0</v>
      </c>
      <c r="F88" s="272">
        <v>0</v>
      </c>
      <c r="G88" s="272">
        <v>0</v>
      </c>
      <c r="H88" s="272">
        <v>0</v>
      </c>
      <c r="I88" s="272">
        <v>0</v>
      </c>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934020</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2066</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125"/>
      <c r="C102" s="2126"/>
      <c r="D102" s="2126"/>
      <c r="E102" s="2126"/>
      <c r="F102" s="2126"/>
      <c r="G102" s="2126"/>
      <c r="H102" s="2126"/>
      <c r="I102" s="2127"/>
    </row>
    <row r="103" spans="1:9" s="177" customFormat="1" ht="11.25" customHeight="1" x14ac:dyDescent="0.2">
      <c r="A103" s="312"/>
      <c r="B103" s="2128"/>
      <c r="C103" s="2129"/>
      <c r="D103" s="2129"/>
      <c r="E103" s="2129"/>
      <c r="F103" s="2129"/>
      <c r="G103" s="2129"/>
      <c r="H103" s="2129"/>
      <c r="I103" s="2130"/>
    </row>
    <row r="104" spans="1:9" s="177" customFormat="1" ht="11.25" customHeight="1" x14ac:dyDescent="0.2">
      <c r="A104" s="312"/>
      <c r="B104" s="2128"/>
      <c r="C104" s="2129"/>
      <c r="D104" s="2129"/>
      <c r="E104" s="2129"/>
      <c r="F104" s="2129"/>
      <c r="G104" s="2129"/>
      <c r="H104" s="2129"/>
      <c r="I104" s="2130"/>
    </row>
    <row r="105" spans="1:9" s="177" customFormat="1" x14ac:dyDescent="0.2">
      <c r="A105" s="312"/>
      <c r="B105" s="2128"/>
      <c r="C105" s="2129"/>
      <c r="D105" s="2129"/>
      <c r="E105" s="2129"/>
      <c r="F105" s="2129"/>
      <c r="G105" s="2129"/>
      <c r="H105" s="2129"/>
      <c r="I105" s="2130"/>
    </row>
    <row r="106" spans="1:9" s="177" customFormat="1" ht="11.25" customHeight="1" x14ac:dyDescent="0.2">
      <c r="A106" s="312"/>
      <c r="B106" s="2128"/>
      <c r="C106" s="2129"/>
      <c r="D106" s="2129"/>
      <c r="E106" s="2129"/>
      <c r="F106" s="2129"/>
      <c r="G106" s="2129"/>
      <c r="H106" s="2129"/>
      <c r="I106" s="2130"/>
    </row>
    <row r="107" spans="1:9" s="177" customFormat="1" ht="11.25" customHeight="1" x14ac:dyDescent="0.2">
      <c r="A107" s="312"/>
      <c r="B107" s="2128"/>
      <c r="C107" s="2129"/>
      <c r="D107" s="2129"/>
      <c r="E107" s="2129"/>
      <c r="F107" s="2129"/>
      <c r="G107" s="2129"/>
      <c r="H107" s="2129"/>
      <c r="I107" s="2130"/>
    </row>
    <row r="108" spans="1:9" s="177" customFormat="1" ht="11.25" customHeight="1" x14ac:dyDescent="0.2">
      <c r="A108" s="312"/>
      <c r="B108" s="2128"/>
      <c r="C108" s="2129"/>
      <c r="D108" s="2129"/>
      <c r="E108" s="2129"/>
      <c r="F108" s="2129"/>
      <c r="G108" s="2129"/>
      <c r="H108" s="2129"/>
      <c r="I108" s="2130"/>
    </row>
    <row r="109" spans="1:9" s="177" customFormat="1" ht="11.25" customHeight="1" x14ac:dyDescent="0.2">
      <c r="A109" s="312"/>
      <c r="B109" s="2128"/>
      <c r="C109" s="2129"/>
      <c r="D109" s="2129"/>
      <c r="E109" s="2129"/>
      <c r="F109" s="2129"/>
      <c r="G109" s="2129"/>
      <c r="H109" s="2129"/>
      <c r="I109" s="2130"/>
    </row>
    <row r="110" spans="1:9" s="177" customFormat="1" ht="11.25" customHeight="1" x14ac:dyDescent="0.2">
      <c r="A110" s="312"/>
      <c r="B110" s="2128"/>
      <c r="C110" s="2129"/>
      <c r="D110" s="2129"/>
      <c r="E110" s="2129"/>
      <c r="F110" s="2129"/>
      <c r="G110" s="2129"/>
      <c r="H110" s="2129"/>
      <c r="I110" s="2130"/>
    </row>
    <row r="111" spans="1:9" s="177" customFormat="1" ht="11.25" customHeight="1" x14ac:dyDescent="0.2">
      <c r="A111" s="312"/>
      <c r="B111" s="2128"/>
      <c r="C111" s="2129"/>
      <c r="D111" s="2129"/>
      <c r="E111" s="2129"/>
      <c r="F111" s="2129"/>
      <c r="G111" s="2129"/>
      <c r="H111" s="2129"/>
      <c r="I111" s="2130"/>
    </row>
    <row r="112" spans="1:9" s="177" customFormat="1" ht="11.25" customHeight="1" x14ac:dyDescent="0.2">
      <c r="A112" s="312"/>
      <c r="B112" s="2131"/>
      <c r="C112" s="2132"/>
      <c r="D112" s="2132"/>
      <c r="E112" s="2132"/>
      <c r="F112" s="2132"/>
      <c r="G112" s="2132"/>
      <c r="H112" s="2132"/>
      <c r="I112" s="2133"/>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34" t="s">
        <v>2073</v>
      </c>
      <c r="D114" s="2134"/>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35" t="s">
        <v>1396</v>
      </c>
      <c r="D117" s="2136"/>
      <c r="E117" s="2137"/>
      <c r="F117" s="2137"/>
      <c r="G117" s="2137"/>
      <c r="H117" s="2137"/>
      <c r="I117" s="300"/>
    </row>
    <row r="118" spans="1:9" s="177" customFormat="1" ht="24" customHeight="1" x14ac:dyDescent="0.2">
      <c r="A118" s="312"/>
      <c r="B118" s="312"/>
      <c r="C118" s="312"/>
      <c r="D118" s="319"/>
      <c r="E118" s="318"/>
      <c r="F118" s="320"/>
      <c r="G118" s="1726"/>
      <c r="H118" s="318"/>
      <c r="I118" s="300"/>
    </row>
    <row r="119" spans="1:9" s="177" customFormat="1" ht="11.25" customHeight="1" x14ac:dyDescent="0.2">
      <c r="A119" s="321"/>
      <c r="B119" s="321"/>
      <c r="C119" s="322"/>
      <c r="D119" s="323" t="s">
        <v>378</v>
      </c>
      <c r="E119" s="306"/>
      <c r="F119" s="1725" t="s">
        <v>2018</v>
      </c>
      <c r="G119" s="324"/>
      <c r="H119" s="324"/>
      <c r="I119" s="300"/>
    </row>
    <row r="120" spans="1:9" x14ac:dyDescent="0.2">
      <c r="A120" s="325"/>
      <c r="B120" s="176"/>
      <c r="C120" s="326"/>
      <c r="D120" s="252"/>
      <c r="E120" s="252"/>
      <c r="F120" s="252"/>
      <c r="G120" s="252"/>
      <c r="H120" s="252"/>
      <c r="I120" s="300"/>
    </row>
    <row r="121" spans="1:9" x14ac:dyDescent="0.2">
      <c r="A121" s="325"/>
      <c r="B121" s="1415"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tabColor rgb="FFFF0000"/>
  </sheetPr>
  <dimension ref="A1:N72"/>
  <sheetViews>
    <sheetView showGridLines="0" defaultGridColor="0" colorId="8" zoomScale="86" zoomScaleNormal="86" workbookViewId="0">
      <selection activeCell="J44" sqref="J44"/>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54" t="s">
        <v>403</v>
      </c>
      <c r="B1" s="2154"/>
      <c r="C1" s="2154"/>
      <c r="D1" s="2154"/>
      <c r="E1" s="2154"/>
      <c r="F1" s="2154"/>
      <c r="G1" s="2154"/>
      <c r="H1" s="2154"/>
      <c r="I1" s="2154"/>
      <c r="J1" s="2154"/>
      <c r="K1" s="2154"/>
      <c r="L1" s="2154"/>
      <c r="M1" s="2154"/>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2214047936</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3.2828999999999997E-2</v>
      </c>
      <c r="E10" s="352" t="s">
        <v>1061</v>
      </c>
      <c r="F10" s="351">
        <v>4.5269999999999998E-3</v>
      </c>
      <c r="G10" s="352" t="s">
        <v>1061</v>
      </c>
      <c r="H10" s="351">
        <v>2.2269999999999998E-3</v>
      </c>
      <c r="I10" s="352" t="s">
        <v>1062</v>
      </c>
      <c r="J10" s="1628">
        <f>ROUND(D10+F10+H10,5)</f>
        <v>3.9579999999999997E-2</v>
      </c>
      <c r="K10" s="218"/>
      <c r="L10" s="351">
        <v>1.4E-5</v>
      </c>
      <c r="M10" s="218"/>
    </row>
    <row r="11" spans="1:14" ht="7.5" customHeight="1" x14ac:dyDescent="0.2">
      <c r="B11" s="218"/>
      <c r="C11" s="218"/>
      <c r="D11" s="2164" t="str">
        <f>IF(SUM(J10)&lt;=0.0999999,"","Enter the Tax Rates by moving the decimal two places to the left.")</f>
        <v/>
      </c>
      <c r="E11" s="2165"/>
      <c r="F11" s="2165"/>
      <c r="G11" s="2165"/>
      <c r="H11" s="2165"/>
      <c r="I11" s="2165"/>
      <c r="J11" s="2165"/>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29">
        <f>SUM('Acct Summary 7-8'!C8,'Acct Summary 7-8'!D8,'Acct Summary 7-8'!F8,'Acct Summary 7-8'!I8)</f>
        <v>126881844</v>
      </c>
      <c r="E16" s="352"/>
      <c r="F16" s="1629">
        <f>SUM('Acct Summary 7-8'!C17,'Acct Summary 7-8'!D17,'Acct Summary 7-8'!F17)</f>
        <v>128443786</v>
      </c>
      <c r="G16" s="352"/>
      <c r="H16" s="1629">
        <f>SUM(D16-F16)</f>
        <v>-1561942</v>
      </c>
      <c r="I16" s="218"/>
      <c r="J16" s="1629">
        <f>SUM('Acct Summary 7-8'!C81,'Acct Summary 7-8'!D81,'Acct Summary 7-8'!F81,'Acct Summary 7-8'!I81)</f>
        <v>71395492</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29">
        <f>'Short-Term Long-Term Debt 24'!F4</f>
        <v>0</v>
      </c>
      <c r="E22" s="352" t="s">
        <v>1061</v>
      </c>
      <c r="F22" s="1629">
        <f>'Short-Term Long-Term Debt 24'!F15</f>
        <v>0</v>
      </c>
      <c r="G22" s="352" t="s">
        <v>1061</v>
      </c>
      <c r="H22" s="1629">
        <f>'Short-Term Long-Term Debt 24'!F21</f>
        <v>0</v>
      </c>
      <c r="I22" s="352" t="s">
        <v>1061</v>
      </c>
      <c r="J22" s="1629">
        <f>'Short-Term Long-Term Debt 24'!F23</f>
        <v>0</v>
      </c>
      <c r="K22" s="352" t="s">
        <v>1061</v>
      </c>
      <c r="L22" s="1629">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29">
        <f>'Short-Term Long-Term Debt 24'!F27</f>
        <v>0</v>
      </c>
      <c r="E24" s="352" t="s">
        <v>1062</v>
      </c>
      <c r="F24" s="1630">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c r="C31" s="363" t="s">
        <v>606</v>
      </c>
      <c r="D31" s="233" t="s">
        <v>1131</v>
      </c>
      <c r="E31" s="218"/>
      <c r="F31" s="218"/>
      <c r="G31" s="359"/>
      <c r="H31" s="1631">
        <f>IF(B31="X",(J7*0.069),IF(B32="X",(J7*0.138),"Enter x in a.or b."))</f>
        <v>305538615.16800004</v>
      </c>
      <c r="I31" s="364"/>
      <c r="J31" s="218"/>
      <c r="K31" s="218"/>
      <c r="L31" s="218"/>
      <c r="M31" s="218"/>
    </row>
    <row r="32" spans="1:13" ht="13.35" customHeight="1" x14ac:dyDescent="0.2">
      <c r="B32" s="365" t="s">
        <v>2080</v>
      </c>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30">
        <f>'Assets-Liab 5-6'!N36</f>
        <v>211532446</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55"/>
      <c r="C54" s="2156"/>
      <c r="D54" s="2156"/>
      <c r="E54" s="2156"/>
      <c r="F54" s="2156"/>
      <c r="G54" s="2156"/>
      <c r="H54" s="2156"/>
      <c r="I54" s="2156"/>
      <c r="J54" s="2156"/>
      <c r="K54" s="2156"/>
      <c r="L54" s="2157"/>
      <c r="M54" s="376"/>
    </row>
    <row r="55" spans="1:13" ht="12.75" customHeight="1" x14ac:dyDescent="0.2">
      <c r="B55" s="2158"/>
      <c r="C55" s="2159"/>
      <c r="D55" s="2159"/>
      <c r="E55" s="2159"/>
      <c r="F55" s="2159"/>
      <c r="G55" s="2159"/>
      <c r="H55" s="2159"/>
      <c r="I55" s="2159"/>
      <c r="J55" s="2159"/>
      <c r="K55" s="2159"/>
      <c r="L55" s="2160"/>
      <c r="M55" s="376"/>
    </row>
    <row r="56" spans="1:13" ht="12.75" customHeight="1" x14ac:dyDescent="0.2">
      <c r="B56" s="2158"/>
      <c r="C56" s="2159"/>
      <c r="D56" s="2159"/>
      <c r="E56" s="2159"/>
      <c r="F56" s="2159"/>
      <c r="G56" s="2159"/>
      <c r="H56" s="2159"/>
      <c r="I56" s="2159"/>
      <c r="J56" s="2159"/>
      <c r="K56" s="2159"/>
      <c r="L56" s="2160"/>
      <c r="M56" s="218"/>
    </row>
    <row r="57" spans="1:13" ht="12.75" customHeight="1" x14ac:dyDescent="0.2">
      <c r="B57" s="2158"/>
      <c r="C57" s="2159"/>
      <c r="D57" s="2159"/>
      <c r="E57" s="2159"/>
      <c r="F57" s="2159"/>
      <c r="G57" s="2159"/>
      <c r="H57" s="2159"/>
      <c r="I57" s="2159"/>
      <c r="J57" s="2159"/>
      <c r="K57" s="2159"/>
      <c r="L57" s="2160"/>
      <c r="M57" s="218"/>
    </row>
    <row r="58" spans="1:13" x14ac:dyDescent="0.2">
      <c r="B58" s="2161"/>
      <c r="C58" s="2162"/>
      <c r="D58" s="2162"/>
      <c r="E58" s="2162"/>
      <c r="F58" s="2162"/>
      <c r="G58" s="2162"/>
      <c r="H58" s="2162"/>
      <c r="I58" s="2162"/>
      <c r="J58" s="2162"/>
      <c r="K58" s="2162"/>
      <c r="L58" s="2163"/>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66"/>
      <c r="D61" s="2167"/>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FF0000"/>
  </sheetPr>
  <dimension ref="A1:R44"/>
  <sheetViews>
    <sheetView showGridLines="0" topLeftCell="A10" zoomScale="110" zoomScaleNormal="110" workbookViewId="0">
      <selection activeCell="C13" sqref="C13:D13"/>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69"/>
      <c r="B1" s="2170"/>
      <c r="C1" s="2170"/>
      <c r="D1" s="380"/>
      <c r="E1" s="380"/>
      <c r="F1" s="380"/>
      <c r="G1" s="380"/>
      <c r="H1" s="380"/>
      <c r="I1" s="380"/>
      <c r="J1" s="380"/>
      <c r="K1" s="380"/>
      <c r="L1" s="380"/>
      <c r="M1" s="380"/>
      <c r="N1" s="380"/>
      <c r="O1" s="2169"/>
      <c r="P1" s="2170"/>
      <c r="Q1" s="2170"/>
    </row>
    <row r="2" spans="1:18" ht="15" x14ac:dyDescent="0.2">
      <c r="A2" s="2173" t="s">
        <v>576</v>
      </c>
      <c r="B2" s="2173"/>
      <c r="C2" s="2173"/>
      <c r="D2" s="2173"/>
      <c r="E2" s="2173"/>
      <c r="F2" s="2173"/>
      <c r="G2" s="2173"/>
      <c r="H2" s="2173"/>
      <c r="I2" s="2173"/>
      <c r="J2" s="2173"/>
      <c r="K2" s="2173"/>
      <c r="L2" s="2173"/>
      <c r="M2" s="2173"/>
      <c r="N2" s="2173"/>
      <c r="O2" s="2173"/>
      <c r="P2" s="2173"/>
      <c r="Q2" s="2173"/>
      <c r="R2" s="2173"/>
    </row>
    <row r="3" spans="1:18" ht="12.75" x14ac:dyDescent="0.2">
      <c r="A3" s="2174" t="s">
        <v>1479</v>
      </c>
      <c r="B3" s="2174"/>
      <c r="C3" s="2174"/>
      <c r="D3" s="2174"/>
      <c r="E3" s="2174"/>
      <c r="F3" s="2174"/>
      <c r="G3" s="2174"/>
      <c r="H3" s="2174"/>
      <c r="I3" s="2174"/>
      <c r="J3" s="2174"/>
      <c r="K3" s="2174"/>
      <c r="L3" s="2174"/>
      <c r="M3" s="2174"/>
      <c r="N3" s="2174"/>
      <c r="O3" s="2174"/>
      <c r="P3" s="2174"/>
      <c r="Q3" s="2174"/>
      <c r="R3" s="2174"/>
    </row>
    <row r="4" spans="1:18" x14ac:dyDescent="0.2">
      <c r="A4" s="2175" t="s">
        <v>1634</v>
      </c>
      <c r="B4" s="2175"/>
      <c r="C4" s="2175"/>
      <c r="D4" s="2175"/>
      <c r="E4" s="2175"/>
      <c r="F4" s="2175"/>
      <c r="G4" s="2175"/>
      <c r="H4" s="2175"/>
      <c r="I4" s="2175"/>
      <c r="J4" s="2175"/>
      <c r="K4" s="2175"/>
      <c r="L4" s="2175"/>
      <c r="M4" s="2175"/>
      <c r="N4" s="2175"/>
      <c r="O4" s="2175"/>
      <c r="P4" s="2175"/>
      <c r="Q4" s="2175"/>
      <c r="R4" s="2175"/>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Champaign Community Unit School District 4</v>
      </c>
      <c r="E7" s="387"/>
      <c r="G7" s="248"/>
      <c r="H7" s="383"/>
      <c r="I7" s="383"/>
      <c r="J7" s="383"/>
      <c r="K7" s="383"/>
      <c r="L7" s="325"/>
      <c r="M7" s="325"/>
      <c r="N7" s="325"/>
      <c r="O7" s="325"/>
      <c r="P7" s="325"/>
    </row>
    <row r="8" spans="1:18" ht="12.75" x14ac:dyDescent="0.2">
      <c r="A8" s="325"/>
      <c r="B8" s="325"/>
      <c r="C8" s="385" t="s">
        <v>1186</v>
      </c>
      <c r="D8" s="388">
        <f>COVER!A13</f>
        <v>9010004026</v>
      </c>
      <c r="E8" s="389"/>
      <c r="G8" s="325"/>
      <c r="H8" s="325"/>
      <c r="I8" s="325"/>
      <c r="J8" s="325"/>
      <c r="K8" s="325"/>
      <c r="L8" s="325"/>
      <c r="M8" s="325"/>
      <c r="N8" s="325"/>
      <c r="O8" s="325"/>
      <c r="P8" s="325"/>
    </row>
    <row r="9" spans="1:18" ht="12.75" x14ac:dyDescent="0.2">
      <c r="A9" s="325"/>
      <c r="B9" s="325"/>
      <c r="C9" s="385" t="s">
        <v>736</v>
      </c>
      <c r="D9" s="390" t="str">
        <f>COVER!A15</f>
        <v>Champaign</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71395492</v>
      </c>
      <c r="I12" s="400"/>
      <c r="J12" s="400"/>
      <c r="K12" s="401">
        <f>TRUNC((H12/H13*100000),5)/100000</f>
        <v>0.56269273639999995</v>
      </c>
      <c r="L12" s="402"/>
      <c r="M12" s="356" t="s">
        <v>1205</v>
      </c>
      <c r="N12" s="356"/>
      <c r="O12" s="403">
        <v>0.35</v>
      </c>
      <c r="P12" s="214"/>
      <c r="Q12" s="214"/>
    </row>
    <row r="13" spans="1:18" s="404" customFormat="1" ht="12.75" x14ac:dyDescent="0.2">
      <c r="A13" s="214"/>
      <c r="B13" s="397"/>
      <c r="C13" s="2171" t="s">
        <v>1390</v>
      </c>
      <c r="D13" s="2172"/>
      <c r="E13" s="214"/>
      <c r="F13" s="405" t="s">
        <v>825</v>
      </c>
      <c r="G13" s="398"/>
      <c r="H13" s="399">
        <f>SUM('Acct Summary 7-8'!C8+'Acct Summary 7-8'!D8+'Acct Summary 7-8'!F8+'Acct Summary 7-8'!I8)+H14</f>
        <v>126881844</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t="str">
        <f>IF(K17&gt;1.2,"1",IF(K17&gt;1.1,"2",IF(K17&gt;1,"3",4)))</f>
        <v>3</v>
      </c>
      <c r="P16" s="212"/>
      <c r="R16" s="380"/>
    </row>
    <row r="17" spans="1:18" s="404" customFormat="1" ht="11.25" x14ac:dyDescent="0.2">
      <c r="A17" s="214"/>
      <c r="B17" s="397"/>
      <c r="C17" s="214" t="s">
        <v>829</v>
      </c>
      <c r="D17" s="214"/>
      <c r="E17" s="214"/>
      <c r="F17" s="214" t="s">
        <v>463</v>
      </c>
      <c r="G17" s="398"/>
      <c r="H17" s="399">
        <f>SUM('Acct Summary 7-8'!C17+'Acct Summary 7-8'!D17+'Acct Summary 7-8'!F17)</f>
        <v>128443786</v>
      </c>
      <c r="I17" s="400"/>
      <c r="J17" s="412"/>
      <c r="K17" s="401">
        <f>TRUNC((H17/H18*100000),5)/100000</f>
        <v>1.0123102088</v>
      </c>
      <c r="L17" s="402"/>
      <c r="M17" s="413" t="s">
        <v>1232</v>
      </c>
      <c r="O17" s="414" t="str">
        <f>IF(AND(O16="2", J20 &gt; 2),"1",IF(AND(O16 = "1", J20 &gt; 2),"2",IF(AND(O16="1", J20 &gt;1),"1","0")))</f>
        <v>0</v>
      </c>
      <c r="P17" s="214"/>
    </row>
    <row r="18" spans="1:18" s="404" customFormat="1" ht="11.25" x14ac:dyDescent="0.2">
      <c r="A18" s="214"/>
      <c r="B18" s="397"/>
      <c r="C18" s="2171" t="s">
        <v>1383</v>
      </c>
      <c r="D18" s="2172"/>
      <c r="E18" s="214"/>
      <c r="F18" s="415" t="s">
        <v>826</v>
      </c>
      <c r="G18" s="398"/>
      <c r="H18" s="399">
        <f>SUM('Acct Summary 7-8'!C8+'Acct Summary 7-8'!D8+'Acct Summary 7-8'!F8+'Acct Summary 7-8'!I8)+H19</f>
        <v>126881844</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f>IF(K17&lt;=1,"0",TRUNC(((K12-0.1)/(K17-1)*100),5)/100)</f>
        <v>37.586099699999998</v>
      </c>
      <c r="K20" s="401" t="str">
        <f>IF(K17&lt;=1,"0",IF(AND(O16="2", J20 &gt; 2),TRUNC(((K12-0.1)/(K17-1)*100),5)/100,IF(AND(O16 = "1", J20 &gt; 2),TRUNC(((K12-0.1)/(K17-1)*100),5)/100,IF(AND(O16="1", J20 &gt;1),TRUNC(((K12-0.1)/(K17-1)*100),5)/100,""))))</f>
        <v/>
      </c>
      <c r="L20" s="214"/>
      <c r="M20" s="356" t="s">
        <v>1206</v>
      </c>
      <c r="N20" s="356"/>
      <c r="O20" s="407">
        <f>(O16+O17)*O18</f>
        <v>1.0499999999999998</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68" t="s">
        <v>1478</v>
      </c>
      <c r="D24" s="2168"/>
      <c r="E24" s="214"/>
      <c r="F24" s="214" t="s">
        <v>464</v>
      </c>
      <c r="G24" s="398"/>
      <c r="H24" s="399">
        <f>SUM('Assets-Liab 5-6'!C4+'Assets-Liab 5-6'!D4+'Assets-Liab 5-6'!F4+'Assets-Liab 5-6'!I4+'Assets-Liab 5-6'!C5+'Assets-Liab 5-6'!D5+'Assets-Liab 5-6'!F5+'Assets-Liab 5-6'!I5)</f>
        <v>75806810</v>
      </c>
      <c r="I24" s="418"/>
      <c r="J24" s="418"/>
      <c r="K24" s="419">
        <f>TRUNC(((H24/H25*100000)/100000),2)</f>
        <v>212.47</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356788.29444000003</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2068</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74487214.71085</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2</v>
      </c>
      <c r="P31" s="212"/>
    </row>
    <row r="32" spans="1:18" s="404" customFormat="1" ht="11.25" x14ac:dyDescent="0.2">
      <c r="A32" s="214"/>
      <c r="B32" s="397"/>
      <c r="C32" s="214" t="s">
        <v>901</v>
      </c>
      <c r="D32" s="214"/>
      <c r="E32" s="214"/>
      <c r="F32" s="214"/>
      <c r="G32" s="398"/>
      <c r="H32" s="399">
        <f>'FP Info 3'!H37</f>
        <v>211532446</v>
      </c>
      <c r="I32" s="416"/>
      <c r="J32" s="416"/>
      <c r="K32" s="419">
        <f>TRUNC(100-((((H32/H33*100))*100)/100),2)</f>
        <v>30.76</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305538615.16800004</v>
      </c>
      <c r="I33" s="416"/>
      <c r="J33" s="416"/>
      <c r="K33" s="399"/>
      <c r="L33" s="214"/>
      <c r="M33" s="431" t="s">
        <v>1206</v>
      </c>
      <c r="N33" s="431"/>
      <c r="O33" s="430">
        <f>(O31*O32)</f>
        <v>0.2</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3.4499999999999997</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 xml:space="preserve">REVIEW </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0000"/>
  </sheetPr>
  <dimension ref="A1:N44"/>
  <sheetViews>
    <sheetView showGridLines="0" defaultGridColor="0" colorId="8" zoomScaleNormal="100" workbookViewId="0">
      <pane ySplit="2" topLeftCell="A24" activePane="bottomLeft" state="frozen"/>
      <selection activeCell="H32" sqref="H32"/>
      <selection pane="bottomLeft" activeCell="C38" sqref="C38:K39"/>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76"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77"/>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78" t="s">
        <v>1029</v>
      </c>
      <c r="B3" s="2179"/>
      <c r="C3" s="1480"/>
      <c r="D3" s="1481"/>
      <c r="E3" s="1481"/>
      <c r="F3" s="1481"/>
      <c r="G3" s="1481"/>
      <c r="H3" s="1481"/>
      <c r="I3" s="1481"/>
      <c r="J3" s="1481"/>
      <c r="K3" s="1481"/>
      <c r="L3" s="1481"/>
      <c r="M3" s="1482"/>
      <c r="N3" s="1483"/>
    </row>
    <row r="4" spans="1:14" ht="13.5" customHeight="1" x14ac:dyDescent="0.2">
      <c r="A4" s="459" t="s">
        <v>1749</v>
      </c>
      <c r="B4" s="460"/>
      <c r="C4" s="1827">
        <v>57922657</v>
      </c>
      <c r="D4" s="461">
        <v>4097964</v>
      </c>
      <c r="E4" s="461">
        <v>6054975</v>
      </c>
      <c r="F4" s="461">
        <v>916865</v>
      </c>
      <c r="G4" s="461">
        <v>1239025</v>
      </c>
      <c r="H4" s="461">
        <v>122126081</v>
      </c>
      <c r="I4" s="461">
        <v>12668655</v>
      </c>
      <c r="J4" s="462">
        <v>3178753</v>
      </c>
      <c r="K4" s="461">
        <v>283961</v>
      </c>
      <c r="L4" s="461">
        <v>1003958</v>
      </c>
      <c r="M4" s="463"/>
      <c r="N4" s="464"/>
    </row>
    <row r="5" spans="1:14" x14ac:dyDescent="0.2">
      <c r="A5" s="459" t="s">
        <v>1048</v>
      </c>
      <c r="B5" s="465">
        <v>120</v>
      </c>
      <c r="C5" s="1827">
        <v>140061</v>
      </c>
      <c r="D5" s="461">
        <v>9276</v>
      </c>
      <c r="E5" s="461">
        <v>0</v>
      </c>
      <c r="F5" s="461">
        <v>0</v>
      </c>
      <c r="G5" s="461">
        <v>1121</v>
      </c>
      <c r="H5" s="461">
        <v>370353</v>
      </c>
      <c r="I5" s="461">
        <v>51332</v>
      </c>
      <c r="J5" s="462">
        <v>8906</v>
      </c>
      <c r="K5" s="1828">
        <v>213</v>
      </c>
      <c r="L5" s="466"/>
      <c r="M5" s="463"/>
      <c r="N5" s="464"/>
    </row>
    <row r="6" spans="1:14" ht="13.5" customHeight="1" x14ac:dyDescent="0.2">
      <c r="A6" s="467" t="s">
        <v>436</v>
      </c>
      <c r="B6" s="465">
        <v>130</v>
      </c>
      <c r="C6" s="1827">
        <v>34296209</v>
      </c>
      <c r="D6" s="461">
        <v>4622453</v>
      </c>
      <c r="E6" s="461">
        <v>8022666</v>
      </c>
      <c r="F6" s="461">
        <v>2273957</v>
      </c>
      <c r="G6" s="1828">
        <v>2013578</v>
      </c>
      <c r="H6" s="1828">
        <v>0</v>
      </c>
      <c r="I6" s="461">
        <v>14295</v>
      </c>
      <c r="J6" s="1829">
        <v>42885</v>
      </c>
      <c r="K6" s="1828">
        <v>73518</v>
      </c>
      <c r="L6" s="468"/>
      <c r="M6" s="463"/>
      <c r="N6" s="464"/>
    </row>
    <row r="7" spans="1:14" ht="13.5" customHeight="1" x14ac:dyDescent="0.2">
      <c r="A7" s="467" t="s">
        <v>437</v>
      </c>
      <c r="B7" s="465">
        <v>140</v>
      </c>
      <c r="C7" s="1830">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30">
        <v>3451894</v>
      </c>
      <c r="D8" s="462">
        <v>0</v>
      </c>
      <c r="E8" s="462">
        <v>1334562</v>
      </c>
      <c r="F8" s="462">
        <v>781762</v>
      </c>
      <c r="G8" s="1831">
        <v>0</v>
      </c>
      <c r="H8" s="462">
        <v>0</v>
      </c>
      <c r="I8" s="1829">
        <v>0</v>
      </c>
      <c r="J8" s="1829">
        <v>0</v>
      </c>
      <c r="K8" s="1832">
        <v>0</v>
      </c>
      <c r="L8" s="470"/>
      <c r="M8" s="463"/>
      <c r="N8" s="464"/>
    </row>
    <row r="9" spans="1:14" ht="13.5" customHeight="1" x14ac:dyDescent="0.2">
      <c r="A9" s="467" t="s">
        <v>287</v>
      </c>
      <c r="B9" s="465">
        <v>160</v>
      </c>
      <c r="C9" s="1830">
        <v>442147</v>
      </c>
      <c r="D9" s="462">
        <v>0</v>
      </c>
      <c r="E9" s="462">
        <v>0</v>
      </c>
      <c r="F9" s="462">
        <v>0</v>
      </c>
      <c r="G9" s="462">
        <v>0</v>
      </c>
      <c r="H9" s="1831">
        <v>0</v>
      </c>
      <c r="I9" s="462">
        <v>0</v>
      </c>
      <c r="J9" s="462">
        <v>0</v>
      </c>
      <c r="K9" s="462">
        <v>0</v>
      </c>
      <c r="L9" s="462"/>
      <c r="M9" s="463"/>
      <c r="N9" s="464"/>
    </row>
    <row r="10" spans="1:14" ht="13.5" customHeight="1" x14ac:dyDescent="0.2">
      <c r="A10" s="467" t="s">
        <v>1047</v>
      </c>
      <c r="B10" s="465">
        <v>170</v>
      </c>
      <c r="C10" s="1827">
        <v>0</v>
      </c>
      <c r="D10" s="461">
        <v>0</v>
      </c>
      <c r="E10" s="462">
        <v>0</v>
      </c>
      <c r="F10" s="461">
        <v>0</v>
      </c>
      <c r="G10" s="1831">
        <v>0</v>
      </c>
      <c r="H10" s="1833">
        <v>0</v>
      </c>
      <c r="I10" s="462">
        <v>0</v>
      </c>
      <c r="J10" s="462">
        <v>0</v>
      </c>
      <c r="K10" s="1833">
        <v>0</v>
      </c>
      <c r="L10" s="471"/>
      <c r="M10" s="464"/>
      <c r="N10" s="464"/>
    </row>
    <row r="11" spans="1:14" ht="13.5" customHeight="1" x14ac:dyDescent="0.2">
      <c r="A11" s="467" t="s">
        <v>288</v>
      </c>
      <c r="B11" s="465">
        <v>180</v>
      </c>
      <c r="C11" s="1830">
        <v>765230</v>
      </c>
      <c r="D11" s="462">
        <v>0</v>
      </c>
      <c r="E11" s="462">
        <v>3133405</v>
      </c>
      <c r="F11" s="462">
        <v>0</v>
      </c>
      <c r="G11" s="462">
        <v>0</v>
      </c>
      <c r="H11" s="462">
        <v>0</v>
      </c>
      <c r="I11" s="1831">
        <v>0</v>
      </c>
      <c r="J11" s="1831">
        <v>0</v>
      </c>
      <c r="K11" s="462">
        <v>0</v>
      </c>
      <c r="L11" s="462"/>
      <c r="M11" s="464"/>
      <c r="N11" s="464"/>
    </row>
    <row r="12" spans="1:14" ht="13.5" customHeight="1" x14ac:dyDescent="0.2">
      <c r="A12" s="467" t="s">
        <v>438</v>
      </c>
      <c r="B12" s="465">
        <v>190</v>
      </c>
      <c r="C12" s="1827">
        <v>0</v>
      </c>
      <c r="D12" s="461">
        <v>0</v>
      </c>
      <c r="E12" s="461">
        <v>0</v>
      </c>
      <c r="F12" s="461">
        <v>0</v>
      </c>
      <c r="G12" s="461">
        <v>0</v>
      </c>
      <c r="H12" s="461">
        <v>0</v>
      </c>
      <c r="I12" s="461">
        <v>0</v>
      </c>
      <c r="J12" s="462">
        <v>0</v>
      </c>
      <c r="K12" s="461">
        <v>0</v>
      </c>
      <c r="L12" s="461"/>
      <c r="M12" s="464"/>
      <c r="N12" s="464"/>
    </row>
    <row r="13" spans="1:14" ht="13.5" customHeight="1" thickBot="1" x14ac:dyDescent="0.25">
      <c r="A13" s="1632" t="s">
        <v>664</v>
      </c>
      <c r="B13" s="1611"/>
      <c r="C13" s="1633">
        <f>SUM(C4:C12)</f>
        <v>97018198</v>
      </c>
      <c r="D13" s="1633">
        <f t="shared" ref="D13:L13" si="0">SUM(D4:D12)</f>
        <v>8729693</v>
      </c>
      <c r="E13" s="1633">
        <f t="shared" si="0"/>
        <v>18545608</v>
      </c>
      <c r="F13" s="1633">
        <f t="shared" si="0"/>
        <v>3972584</v>
      </c>
      <c r="G13" s="1633">
        <f t="shared" si="0"/>
        <v>3253724</v>
      </c>
      <c r="H13" s="1633">
        <f t="shared" si="0"/>
        <v>122496434</v>
      </c>
      <c r="I13" s="1633">
        <f t="shared" si="0"/>
        <v>12734282</v>
      </c>
      <c r="J13" s="1633">
        <f t="shared" si="0"/>
        <v>3230544</v>
      </c>
      <c r="K13" s="1633">
        <f t="shared" si="0"/>
        <v>357692</v>
      </c>
      <c r="L13" s="1633">
        <f t="shared" si="0"/>
        <v>1003958</v>
      </c>
      <c r="M13" s="463"/>
      <c r="N13" s="464"/>
    </row>
    <row r="14" spans="1:14" ht="18" customHeight="1" thickTop="1" x14ac:dyDescent="0.2">
      <c r="A14" s="2180" t="s">
        <v>149</v>
      </c>
      <c r="B14" s="2181"/>
      <c r="C14" s="1484"/>
      <c r="D14" s="1485"/>
      <c r="E14" s="1485"/>
      <c r="F14" s="1485"/>
      <c r="G14" s="1485"/>
      <c r="H14" s="1485"/>
      <c r="I14" s="1485"/>
      <c r="J14" s="1485"/>
      <c r="K14" s="1485"/>
      <c r="L14" s="1485"/>
      <c r="M14" s="1486"/>
      <c r="N14" s="1487"/>
    </row>
    <row r="15" spans="1:14" s="475" customFormat="1" ht="12.75" customHeight="1" x14ac:dyDescent="0.2">
      <c r="A15" s="472" t="s">
        <v>1467</v>
      </c>
      <c r="B15" s="473">
        <v>210</v>
      </c>
      <c r="C15" s="469"/>
      <c r="D15" s="469"/>
      <c r="E15" s="469"/>
      <c r="F15" s="469"/>
      <c r="G15" s="469"/>
      <c r="H15" s="469"/>
      <c r="I15" s="469"/>
      <c r="J15" s="469"/>
      <c r="K15" s="469"/>
      <c r="L15" s="469"/>
      <c r="M15" s="1831">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13443389</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138267372</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0</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15793242</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5110559</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10522942</v>
      </c>
    </row>
    <row r="22" spans="1:14" s="475" customFormat="1" ht="12.75" customHeight="1" x14ac:dyDescent="0.2">
      <c r="A22" s="472" t="s">
        <v>1474</v>
      </c>
      <c r="B22" s="473">
        <v>350</v>
      </c>
      <c r="C22" s="469"/>
      <c r="D22" s="469"/>
      <c r="E22" s="469"/>
      <c r="F22" s="469"/>
      <c r="G22" s="469"/>
      <c r="H22" s="469"/>
      <c r="I22" s="469"/>
      <c r="J22" s="469"/>
      <c r="K22" s="469"/>
      <c r="L22" s="469"/>
      <c r="M22" s="476"/>
      <c r="N22" s="1834">
        <f>'Short-Term Long-Term Debt 24'!J49</f>
        <v>201009504.00000003</v>
      </c>
    </row>
    <row r="23" spans="1:14" ht="13.5" customHeight="1" thickBot="1" x14ac:dyDescent="0.25">
      <c r="A23" s="1632" t="s">
        <v>663</v>
      </c>
      <c r="B23" s="1636"/>
      <c r="C23" s="463"/>
      <c r="D23" s="463"/>
      <c r="E23" s="463"/>
      <c r="F23" s="463"/>
      <c r="G23" s="463"/>
      <c r="H23" s="463"/>
      <c r="I23" s="463"/>
      <c r="J23" s="463"/>
      <c r="K23" s="463"/>
      <c r="L23" s="463"/>
      <c r="M23" s="1594">
        <f>SUM(M15:M22)</f>
        <v>172614562</v>
      </c>
      <c r="N23" s="1594">
        <f>SUM(N21:N22)</f>
        <v>211532446.00000003</v>
      </c>
    </row>
    <row r="24" spans="1:14" ht="18" customHeight="1" thickTop="1" x14ac:dyDescent="0.2">
      <c r="A24" s="2182" t="s">
        <v>618</v>
      </c>
      <c r="B24" s="2183"/>
      <c r="C24" s="1489"/>
      <c r="D24" s="1486"/>
      <c r="E24" s="1486"/>
      <c r="F24" s="1486"/>
      <c r="G24" s="1486"/>
      <c r="H24" s="1486"/>
      <c r="I24" s="1486"/>
      <c r="J24" s="1486"/>
      <c r="K24" s="1486"/>
      <c r="L24" s="1486"/>
      <c r="M24" s="1485"/>
      <c r="N24" s="1490"/>
    </row>
    <row r="25" spans="1:14" x14ac:dyDescent="0.2">
      <c r="A25" s="467" t="s">
        <v>665</v>
      </c>
      <c r="B25" s="465">
        <v>410</v>
      </c>
      <c r="C25" s="1831">
        <v>0</v>
      </c>
      <c r="D25" s="1831">
        <v>0</v>
      </c>
      <c r="E25" s="1831">
        <v>0</v>
      </c>
      <c r="F25" s="1831">
        <v>0</v>
      </c>
      <c r="G25" s="1831">
        <v>0</v>
      </c>
      <c r="H25" s="1832">
        <v>0</v>
      </c>
      <c r="I25" s="463"/>
      <c r="J25" s="1831">
        <v>0</v>
      </c>
      <c r="K25" s="1831">
        <v>0</v>
      </c>
      <c r="L25" s="463"/>
      <c r="M25" s="463"/>
      <c r="N25" s="463"/>
    </row>
    <row r="26" spans="1:14" x14ac:dyDescent="0.2">
      <c r="A26" s="467" t="s">
        <v>666</v>
      </c>
      <c r="B26" s="465">
        <v>420</v>
      </c>
      <c r="C26" s="1835">
        <v>0</v>
      </c>
      <c r="D26" s="1835">
        <v>0</v>
      </c>
      <c r="E26" s="1835">
        <v>0</v>
      </c>
      <c r="F26" s="1835">
        <v>0</v>
      </c>
      <c r="G26" s="1835">
        <v>0</v>
      </c>
      <c r="H26" s="1835">
        <v>0</v>
      </c>
      <c r="I26" s="1835">
        <v>0</v>
      </c>
      <c r="J26" s="1836">
        <v>0</v>
      </c>
      <c r="K26" s="1835">
        <v>0</v>
      </c>
      <c r="L26" s="463"/>
      <c r="M26" s="463"/>
      <c r="N26" s="463"/>
    </row>
    <row r="27" spans="1:14" ht="13.5" customHeight="1" x14ac:dyDescent="0.2">
      <c r="A27" s="467" t="s">
        <v>667</v>
      </c>
      <c r="B27" s="465">
        <v>430</v>
      </c>
      <c r="C27" s="462">
        <v>411220</v>
      </c>
      <c r="D27" s="462">
        <v>318722</v>
      </c>
      <c r="E27" s="461">
        <v>0</v>
      </c>
      <c r="F27" s="462">
        <v>0</v>
      </c>
      <c r="G27" s="462">
        <v>0</v>
      </c>
      <c r="H27" s="462">
        <v>1097852</v>
      </c>
      <c r="I27" s="462">
        <v>0</v>
      </c>
      <c r="J27" s="462">
        <v>0</v>
      </c>
      <c r="K27" s="462">
        <v>0</v>
      </c>
      <c r="L27" s="463"/>
      <c r="M27" s="463"/>
      <c r="N27" s="463"/>
    </row>
    <row r="28" spans="1:14" ht="13.5" customHeight="1" x14ac:dyDescent="0.2">
      <c r="A28" s="467" t="s">
        <v>668</v>
      </c>
      <c r="B28" s="465">
        <v>440</v>
      </c>
      <c r="C28" s="462">
        <v>0</v>
      </c>
      <c r="D28" s="462">
        <v>14973</v>
      </c>
      <c r="E28" s="1829">
        <v>0</v>
      </c>
      <c r="F28" s="462">
        <v>0</v>
      </c>
      <c r="G28" s="1829">
        <v>0</v>
      </c>
      <c r="H28" s="1829">
        <v>74936</v>
      </c>
      <c r="I28" s="462">
        <v>0</v>
      </c>
      <c r="J28" s="462">
        <v>0</v>
      </c>
      <c r="K28" s="1832">
        <v>0</v>
      </c>
      <c r="L28" s="463"/>
      <c r="M28" s="463"/>
      <c r="N28" s="463"/>
    </row>
    <row r="29" spans="1:14" ht="13.5" customHeight="1" x14ac:dyDescent="0.2">
      <c r="A29" s="467" t="s">
        <v>669</v>
      </c>
      <c r="B29" s="465">
        <v>460</v>
      </c>
      <c r="C29" s="1837">
        <v>0</v>
      </c>
      <c r="D29" s="1838">
        <v>0</v>
      </c>
      <c r="E29" s="1829">
        <v>0</v>
      </c>
      <c r="F29" s="462">
        <v>0</v>
      </c>
      <c r="G29" s="1829">
        <v>0</v>
      </c>
      <c r="H29" s="1829">
        <v>0</v>
      </c>
      <c r="I29" s="1829">
        <v>0</v>
      </c>
      <c r="J29" s="1829">
        <v>0</v>
      </c>
      <c r="K29" s="462">
        <v>0</v>
      </c>
      <c r="L29" s="463"/>
      <c r="M29" s="463"/>
      <c r="N29" s="463"/>
    </row>
    <row r="30" spans="1:14" ht="13.5" customHeight="1" x14ac:dyDescent="0.2">
      <c r="A30" s="467" t="s">
        <v>670</v>
      </c>
      <c r="B30" s="465">
        <v>470</v>
      </c>
      <c r="C30" s="462">
        <v>5696094</v>
      </c>
      <c r="D30" s="1829">
        <v>0</v>
      </c>
      <c r="E30" s="462">
        <v>0</v>
      </c>
      <c r="F30" s="462">
        <v>163347</v>
      </c>
      <c r="G30" s="462">
        <v>237460</v>
      </c>
      <c r="H30" s="462">
        <v>0</v>
      </c>
      <c r="I30" s="462">
        <v>0</v>
      </c>
      <c r="J30" s="462">
        <v>0</v>
      </c>
      <c r="K30" s="1831">
        <v>0</v>
      </c>
      <c r="L30" s="463"/>
      <c r="M30" s="463"/>
      <c r="N30" s="463"/>
    </row>
    <row r="31" spans="1:14" ht="13.5" customHeight="1" x14ac:dyDescent="0.2">
      <c r="A31" s="467" t="s">
        <v>671</v>
      </c>
      <c r="B31" s="465">
        <v>480</v>
      </c>
      <c r="C31" s="461">
        <v>229225</v>
      </c>
      <c r="D31" s="462">
        <v>0</v>
      </c>
      <c r="E31" s="462">
        <v>0</v>
      </c>
      <c r="F31" s="461">
        <v>0</v>
      </c>
      <c r="G31" s="462">
        <v>0</v>
      </c>
      <c r="H31" s="462">
        <v>0</v>
      </c>
      <c r="I31" s="462">
        <v>0</v>
      </c>
      <c r="J31" s="462">
        <v>0</v>
      </c>
      <c r="K31" s="462">
        <v>0</v>
      </c>
      <c r="L31" s="463"/>
      <c r="M31" s="463"/>
      <c r="N31" s="463"/>
    </row>
    <row r="32" spans="1:14" ht="13.5" customHeight="1" x14ac:dyDescent="0.2">
      <c r="A32" s="477" t="s">
        <v>672</v>
      </c>
      <c r="B32" s="478">
        <v>490</v>
      </c>
      <c r="C32" s="1839">
        <v>36472609</v>
      </c>
      <c r="D32" s="1839">
        <v>4631729</v>
      </c>
      <c r="E32" s="1829">
        <v>8022666</v>
      </c>
      <c r="F32" s="1829">
        <v>3055719</v>
      </c>
      <c r="G32" s="1829">
        <v>2014699</v>
      </c>
      <c r="H32" s="1829">
        <v>370353</v>
      </c>
      <c r="I32" s="1829">
        <v>65627</v>
      </c>
      <c r="J32" s="1829">
        <v>51790</v>
      </c>
      <c r="K32" s="1832">
        <v>73730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1003958</v>
      </c>
      <c r="M33" s="463"/>
      <c r="N33" s="464"/>
    </row>
    <row r="34" spans="1:14" ht="13.5" customHeight="1" thickBot="1" x14ac:dyDescent="0.25">
      <c r="A34" s="1634" t="s">
        <v>674</v>
      </c>
      <c r="B34" s="1635"/>
      <c r="C34" s="1840">
        <f>SUM(C25:C33)</f>
        <v>42809148</v>
      </c>
      <c r="D34" s="1840">
        <f t="shared" ref="D34:K34" si="1">SUM(D25:D33)</f>
        <v>4965424</v>
      </c>
      <c r="E34" s="1840">
        <f t="shared" si="1"/>
        <v>8022666</v>
      </c>
      <c r="F34" s="1840">
        <f t="shared" si="1"/>
        <v>3219066</v>
      </c>
      <c r="G34" s="1840">
        <f t="shared" si="1"/>
        <v>2252159</v>
      </c>
      <c r="H34" s="1840">
        <f t="shared" si="1"/>
        <v>1543141</v>
      </c>
      <c r="I34" s="1840">
        <f t="shared" si="1"/>
        <v>65627</v>
      </c>
      <c r="J34" s="1840">
        <f t="shared" si="1"/>
        <v>51790</v>
      </c>
      <c r="K34" s="1840">
        <f t="shared" si="1"/>
        <v>73730</v>
      </c>
      <c r="L34" s="1841">
        <f>SUM(L33)</f>
        <v>1003958</v>
      </c>
      <c r="M34" s="463"/>
      <c r="N34" s="1842"/>
    </row>
    <row r="35" spans="1:14" ht="18" customHeight="1" thickTop="1" x14ac:dyDescent="0.2">
      <c r="A35" s="2184" t="s">
        <v>549</v>
      </c>
      <c r="B35" s="2185"/>
      <c r="C35" s="1843"/>
      <c r="D35" s="1844"/>
      <c r="E35" s="1844"/>
      <c r="F35" s="1844"/>
      <c r="G35" s="1844"/>
      <c r="H35" s="1844"/>
      <c r="I35" s="1844"/>
      <c r="J35" s="1844"/>
      <c r="K35" s="1844"/>
      <c r="L35" s="1844"/>
      <c r="M35" s="1845"/>
      <c r="N35" s="1846"/>
    </row>
    <row r="36" spans="1:14" x14ac:dyDescent="0.2">
      <c r="A36" s="480" t="s">
        <v>1</v>
      </c>
      <c r="B36" s="465">
        <v>511</v>
      </c>
      <c r="C36" s="469"/>
      <c r="D36" s="469"/>
      <c r="E36" s="469"/>
      <c r="F36" s="469"/>
      <c r="G36" s="469"/>
      <c r="H36" s="469"/>
      <c r="I36" s="469"/>
      <c r="J36" s="469"/>
      <c r="K36" s="469"/>
      <c r="L36" s="463"/>
      <c r="M36" s="463"/>
      <c r="N36" s="1847">
        <f>'Short-Term Long-Term Debt 24'!I49</f>
        <v>211532446</v>
      </c>
    </row>
    <row r="37" spans="1:14" ht="13.5" thickBot="1" x14ac:dyDescent="0.25">
      <c r="A37" s="1632" t="s">
        <v>673</v>
      </c>
      <c r="B37" s="1636"/>
      <c r="C37" s="469"/>
      <c r="D37" s="469"/>
      <c r="E37" s="469"/>
      <c r="F37" s="469"/>
      <c r="G37" s="469"/>
      <c r="H37" s="469"/>
      <c r="I37" s="469"/>
      <c r="J37" s="469"/>
      <c r="K37" s="469"/>
      <c r="L37" s="1842"/>
      <c r="M37" s="463"/>
      <c r="N37" s="1848">
        <f>SUM(N36:N36)</f>
        <v>211532446</v>
      </c>
    </row>
    <row r="38" spans="1:14" s="325" customFormat="1" ht="13.5" customHeight="1" thickTop="1" x14ac:dyDescent="0.2">
      <c r="A38" s="481" t="s">
        <v>439</v>
      </c>
      <c r="B38" s="473">
        <v>714</v>
      </c>
      <c r="C38" s="461">
        <v>765230</v>
      </c>
      <c r="D38" s="461">
        <v>0</v>
      </c>
      <c r="E38" s="461">
        <v>3133405</v>
      </c>
      <c r="F38" s="461">
        <v>0</v>
      </c>
      <c r="G38" s="461">
        <v>0</v>
      </c>
      <c r="H38" s="461">
        <v>889853</v>
      </c>
      <c r="I38" s="461">
        <v>0</v>
      </c>
      <c r="J38" s="461">
        <v>3178754</v>
      </c>
      <c r="K38" s="461">
        <v>0</v>
      </c>
      <c r="L38" s="1833">
        <v>0</v>
      </c>
      <c r="M38" s="1849"/>
      <c r="N38" s="1849"/>
    </row>
    <row r="39" spans="1:14" s="325" customFormat="1" ht="13.5" customHeight="1" x14ac:dyDescent="0.2">
      <c r="A39" s="481" t="s">
        <v>359</v>
      </c>
      <c r="B39" s="473">
        <v>730</v>
      </c>
      <c r="C39" s="461">
        <v>53443820</v>
      </c>
      <c r="D39" s="461">
        <v>3764269</v>
      </c>
      <c r="E39" s="461">
        <v>7389537</v>
      </c>
      <c r="F39" s="461">
        <v>753518</v>
      </c>
      <c r="G39" s="461">
        <v>1001565</v>
      </c>
      <c r="H39" s="461">
        <v>120063440</v>
      </c>
      <c r="I39" s="461">
        <v>12668655</v>
      </c>
      <c r="J39" s="461">
        <v>0</v>
      </c>
      <c r="K39" s="461">
        <v>283962</v>
      </c>
      <c r="L39" s="461">
        <f>L13-L34</f>
        <v>0</v>
      </c>
      <c r="M39" s="1849"/>
      <c r="N39" s="1849"/>
    </row>
    <row r="40" spans="1:14" s="325" customFormat="1" ht="13.5" customHeight="1" x14ac:dyDescent="0.2">
      <c r="A40" s="482" t="s">
        <v>150</v>
      </c>
      <c r="B40" s="483"/>
      <c r="C40" s="1850"/>
      <c r="D40" s="1850"/>
      <c r="E40" s="1850"/>
      <c r="F40" s="1850"/>
      <c r="G40" s="1850"/>
      <c r="H40" s="1850"/>
      <c r="I40" s="1850"/>
      <c r="J40" s="1850"/>
      <c r="K40" s="1850"/>
      <c r="L40" s="1850"/>
      <c r="M40" s="461">
        <f>'Cap Outlay Deprec 26'!F16</f>
        <v>172614562</v>
      </c>
      <c r="N40" s="1849"/>
    </row>
    <row r="41" spans="1:14" ht="13.5" customHeight="1" thickBot="1" x14ac:dyDescent="0.25">
      <c r="A41" s="1632" t="s">
        <v>675</v>
      </c>
      <c r="B41" s="1609"/>
      <c r="C41" s="1851">
        <f>(SUM(C34,C37,C38,C39))</f>
        <v>97018198</v>
      </c>
      <c r="D41" s="1851">
        <f t="shared" ref="D41:L41" si="2">SUM(D34,D37,D38:D39)</f>
        <v>8729693</v>
      </c>
      <c r="E41" s="1851">
        <f t="shared" si="2"/>
        <v>18545608</v>
      </c>
      <c r="F41" s="1851">
        <f t="shared" si="2"/>
        <v>3972584</v>
      </c>
      <c r="G41" s="1851">
        <f t="shared" si="2"/>
        <v>3253724</v>
      </c>
      <c r="H41" s="1851">
        <f t="shared" si="2"/>
        <v>122496434</v>
      </c>
      <c r="I41" s="1851">
        <f t="shared" si="2"/>
        <v>12734282</v>
      </c>
      <c r="J41" s="1851">
        <f t="shared" si="2"/>
        <v>3230544</v>
      </c>
      <c r="K41" s="1851">
        <f t="shared" si="2"/>
        <v>357692</v>
      </c>
      <c r="L41" s="1851">
        <f t="shared" si="2"/>
        <v>1003958</v>
      </c>
      <c r="M41" s="1851">
        <f>SUM(M40)</f>
        <v>172614562</v>
      </c>
      <c r="N41" s="1851">
        <f>SUM(N37)</f>
        <v>211532446</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4"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FF0000"/>
  </sheetPr>
  <dimension ref="A1:M87"/>
  <sheetViews>
    <sheetView showGridLines="0" defaultGridColor="0" colorId="8" zoomScaleNormal="100" zoomScaleSheetLayoutView="100" workbookViewId="0">
      <pane ySplit="2" topLeftCell="A3" activePane="bottomLeft" state="frozenSplit"/>
      <selection activeCell="H32" sqref="H32"/>
      <selection pane="bottomLeft" activeCell="A3" sqref="A3:B3"/>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94"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95"/>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206" t="s">
        <v>1236</v>
      </c>
      <c r="B3" s="2207"/>
      <c r="C3" s="1491"/>
      <c r="D3" s="1492"/>
      <c r="E3" s="1492"/>
      <c r="F3" s="1492"/>
      <c r="G3" s="1492"/>
      <c r="H3" s="1492"/>
      <c r="I3" s="1492"/>
      <c r="J3" s="1492"/>
      <c r="K3" s="1493"/>
      <c r="L3" s="489"/>
    </row>
    <row r="4" spans="1:13" ht="15.75" customHeight="1" x14ac:dyDescent="0.2">
      <c r="A4" s="1814" t="s">
        <v>1578</v>
      </c>
      <c r="B4" s="1815">
        <v>1000</v>
      </c>
      <c r="C4" s="1852">
        <f>'Revenues 9-14'!C109</f>
        <v>78066041</v>
      </c>
      <c r="D4" s="1852">
        <f>'Revenues 9-14'!D109</f>
        <v>9904147</v>
      </c>
      <c r="E4" s="1852">
        <f>'Revenues 9-14'!E109</f>
        <v>15956553</v>
      </c>
      <c r="F4" s="1852">
        <f>'Revenues 9-14'!F109</f>
        <v>4701747</v>
      </c>
      <c r="G4" s="1852">
        <f>'Revenues 9-14'!G109</f>
        <v>4090252</v>
      </c>
      <c r="H4" s="1852">
        <f>'Revenues 9-14'!H109</f>
        <v>2332827</v>
      </c>
      <c r="I4" s="1852">
        <f>'Revenues 9-14'!I109</f>
        <v>135160</v>
      </c>
      <c r="J4" s="1852">
        <f>'Revenues 9-14'!J109</f>
        <v>519225</v>
      </c>
      <c r="K4" s="1852">
        <f>'Revenues 9-14'!K109</f>
        <v>109958</v>
      </c>
      <c r="L4" s="343"/>
    </row>
    <row r="5" spans="1:13" ht="15.75" customHeight="1" x14ac:dyDescent="0.2">
      <c r="A5" s="1494" t="s">
        <v>1579</v>
      </c>
      <c r="B5" s="1495">
        <v>2000</v>
      </c>
      <c r="C5" s="1853">
        <f>'Revenues 9-14'!C114</f>
        <v>0</v>
      </c>
      <c r="D5" s="1853">
        <f>'Revenues 9-14'!D114</f>
        <v>0</v>
      </c>
      <c r="E5" s="1854"/>
      <c r="F5" s="1853">
        <f>'Revenues 9-14'!F114</f>
        <v>0</v>
      </c>
      <c r="G5" s="1853">
        <f>'Revenues 9-14'!G114</f>
        <v>0</v>
      </c>
      <c r="H5" s="1855" t="s">
        <v>1230</v>
      </c>
      <c r="I5" s="1856"/>
      <c r="J5" s="1857" t="s">
        <v>1230</v>
      </c>
      <c r="K5" s="1858" t="s">
        <v>1230</v>
      </c>
      <c r="L5" s="343"/>
    </row>
    <row r="6" spans="1:13" ht="15.75" customHeight="1" x14ac:dyDescent="0.2">
      <c r="A6" s="1494" t="s">
        <v>1580</v>
      </c>
      <c r="B6" s="1496">
        <v>3000</v>
      </c>
      <c r="C6" s="1853">
        <f>'Revenues 9-14'!C173</f>
        <v>19872947</v>
      </c>
      <c r="D6" s="1853">
        <f>'Revenues 9-14'!D173</f>
        <v>0</v>
      </c>
      <c r="E6" s="1853">
        <f>'Revenues 9-14'!E173</f>
        <v>0</v>
      </c>
      <c r="F6" s="1853">
        <f>'Revenues 9-14'!F173</f>
        <v>2943654</v>
      </c>
      <c r="G6" s="1853">
        <f>'Revenues 9-14'!G173</f>
        <v>0</v>
      </c>
      <c r="H6" s="1853">
        <f>'Revenues 9-14'!H173</f>
        <v>0</v>
      </c>
      <c r="I6" s="1853">
        <f>'Revenues 9-14'!I173</f>
        <v>0</v>
      </c>
      <c r="J6" s="1853">
        <f>'Revenues 9-14'!J173</f>
        <v>0</v>
      </c>
      <c r="K6" s="1853">
        <f>'Revenues 9-14'!K173</f>
        <v>0</v>
      </c>
      <c r="L6" s="343"/>
      <c r="M6" s="491"/>
    </row>
    <row r="7" spans="1:13" ht="15.75" customHeight="1" x14ac:dyDescent="0.2">
      <c r="A7" s="1494" t="s">
        <v>1581</v>
      </c>
      <c r="B7" s="1496">
        <v>4000</v>
      </c>
      <c r="C7" s="1853">
        <f>'Revenues 9-14'!C274</f>
        <v>11258148</v>
      </c>
      <c r="D7" s="1853">
        <f>'Revenues 9-14'!D274</f>
        <v>0</v>
      </c>
      <c r="E7" s="1853">
        <f>'Revenues 9-14'!E274</f>
        <v>1415923</v>
      </c>
      <c r="F7" s="1853">
        <f>'Revenues 9-14'!F274</f>
        <v>0</v>
      </c>
      <c r="G7" s="1853">
        <f>'Revenues 9-14'!G274</f>
        <v>0</v>
      </c>
      <c r="H7" s="1853">
        <f>'Revenues 9-14'!H274</f>
        <v>0</v>
      </c>
      <c r="I7" s="1853">
        <f>'Revenues 9-14'!I274</f>
        <v>0</v>
      </c>
      <c r="J7" s="1853">
        <f>'Revenues 9-14'!J274</f>
        <v>0</v>
      </c>
      <c r="K7" s="1853">
        <f>'Revenues 9-14'!K274</f>
        <v>0</v>
      </c>
      <c r="L7" s="343"/>
      <c r="M7" s="491"/>
    </row>
    <row r="8" spans="1:13" ht="13.5" thickBot="1" x14ac:dyDescent="0.25">
      <c r="A8" s="1632" t="s">
        <v>1233</v>
      </c>
      <c r="B8" s="1611"/>
      <c r="C8" s="1851">
        <f>SUM(C4:C7)</f>
        <v>109197136</v>
      </c>
      <c r="D8" s="1851">
        <f t="shared" ref="D8" si="0">SUM(D4:D7)</f>
        <v>9904147</v>
      </c>
      <c r="E8" s="1851">
        <f t="shared" ref="E8:K8" si="1">SUM(E4:E7)</f>
        <v>17372476</v>
      </c>
      <c r="F8" s="1851">
        <f t="shared" si="1"/>
        <v>7645401</v>
      </c>
      <c r="G8" s="1851">
        <f t="shared" si="1"/>
        <v>4090252</v>
      </c>
      <c r="H8" s="1851">
        <f t="shared" si="1"/>
        <v>2332827</v>
      </c>
      <c r="I8" s="1851">
        <f t="shared" si="1"/>
        <v>135160</v>
      </c>
      <c r="J8" s="1851">
        <f t="shared" si="1"/>
        <v>519225</v>
      </c>
      <c r="K8" s="1851">
        <f t="shared" si="1"/>
        <v>109958</v>
      </c>
      <c r="L8" s="343"/>
    </row>
    <row r="9" spans="1:13" ht="15.75" thickTop="1" x14ac:dyDescent="0.2">
      <c r="A9" s="492" t="s">
        <v>1751</v>
      </c>
      <c r="B9" s="493">
        <v>3998</v>
      </c>
      <c r="C9" s="1833">
        <v>44751741</v>
      </c>
      <c r="D9" s="1859"/>
      <c r="E9" s="1833"/>
      <c r="F9" s="1833"/>
      <c r="G9" s="1860"/>
      <c r="H9" s="1833"/>
      <c r="I9" s="1855" t="s">
        <v>1230</v>
      </c>
      <c r="J9" s="1831"/>
      <c r="K9" s="1833"/>
      <c r="L9" s="343"/>
    </row>
    <row r="10" spans="1:13" s="495" customFormat="1" ht="13.5" thickBot="1" x14ac:dyDescent="0.25">
      <c r="A10" s="1632" t="s">
        <v>1234</v>
      </c>
      <c r="B10" s="1611"/>
      <c r="C10" s="1851">
        <f>SUM(C8:C9)</f>
        <v>153948877</v>
      </c>
      <c r="D10" s="1851">
        <f t="shared" ref="D10:K10" si="2">SUM(D8:D9)</f>
        <v>9904147</v>
      </c>
      <c r="E10" s="1851">
        <f t="shared" si="2"/>
        <v>17372476</v>
      </c>
      <c r="F10" s="1851">
        <f t="shared" si="2"/>
        <v>7645401</v>
      </c>
      <c r="G10" s="1851">
        <f t="shared" si="2"/>
        <v>4090252</v>
      </c>
      <c r="H10" s="1851">
        <f t="shared" si="2"/>
        <v>2332827</v>
      </c>
      <c r="I10" s="1851">
        <f t="shared" si="2"/>
        <v>135160</v>
      </c>
      <c r="J10" s="1851">
        <f t="shared" si="2"/>
        <v>519225</v>
      </c>
      <c r="K10" s="1851">
        <f t="shared" si="2"/>
        <v>109958</v>
      </c>
      <c r="L10" s="494"/>
    </row>
    <row r="11" spans="1:13" s="495" customFormat="1" ht="16.7" customHeight="1" thickTop="1" x14ac:dyDescent="0.2">
      <c r="A11" s="2180" t="s">
        <v>1237</v>
      </c>
      <c r="B11" s="2181"/>
      <c r="C11" s="1843"/>
      <c r="D11" s="1844"/>
      <c r="E11" s="1844"/>
      <c r="F11" s="1844"/>
      <c r="G11" s="1844"/>
      <c r="H11" s="1844"/>
      <c r="I11" s="1844"/>
      <c r="J11" s="1844"/>
      <c r="K11" s="1861"/>
      <c r="L11" s="494"/>
    </row>
    <row r="12" spans="1:13" ht="15.75" customHeight="1" x14ac:dyDescent="0.2">
      <c r="A12" s="1494" t="s">
        <v>475</v>
      </c>
      <c r="B12" s="1496">
        <v>1000</v>
      </c>
      <c r="C12" s="1852">
        <f>'Expenditures 15-22'!K33</f>
        <v>69272233</v>
      </c>
      <c r="D12" s="1862" t="s">
        <v>1230</v>
      </c>
      <c r="E12" s="463" t="s">
        <v>1230</v>
      </c>
      <c r="F12" s="463" t="s">
        <v>1230</v>
      </c>
      <c r="G12" s="1852">
        <f>'Expenditures 15-22'!K229</f>
        <v>1630288</v>
      </c>
      <c r="H12" s="1863"/>
      <c r="I12" s="463" t="s">
        <v>1230</v>
      </c>
      <c r="J12" s="463" t="s">
        <v>1230</v>
      </c>
      <c r="K12" s="1863" t="s">
        <v>1230</v>
      </c>
      <c r="L12" s="343"/>
    </row>
    <row r="13" spans="1:13" ht="15.75" customHeight="1" x14ac:dyDescent="0.2">
      <c r="A13" s="1494" t="s">
        <v>476</v>
      </c>
      <c r="B13" s="1496">
        <v>2000</v>
      </c>
      <c r="C13" s="1853">
        <f>'Expenditures 15-22'!K74</f>
        <v>36358531</v>
      </c>
      <c r="D13" s="1853">
        <f>'Expenditures 15-22'!K129</f>
        <v>13622382</v>
      </c>
      <c r="E13" s="464" t="s">
        <v>1230</v>
      </c>
      <c r="F13" s="1853">
        <f>'Expenditures 15-22'!K184</f>
        <v>6702805</v>
      </c>
      <c r="G13" s="1853">
        <f>'Expenditures 15-22'!K279</f>
        <v>2816562</v>
      </c>
      <c r="H13" s="1853">
        <f>'Expenditures 15-22'!K303</f>
        <v>8791759</v>
      </c>
      <c r="I13" s="463" t="s">
        <v>1230</v>
      </c>
      <c r="J13" s="1864">
        <f>'Expenditures 15-22'!K330</f>
        <v>1145041</v>
      </c>
      <c r="K13" s="1865">
        <f>'Expenditures 15-22'!K352</f>
        <v>17901</v>
      </c>
      <c r="L13" s="343"/>
    </row>
    <row r="14" spans="1:13" ht="15.75" customHeight="1" x14ac:dyDescent="0.2">
      <c r="A14" s="1494" t="s">
        <v>468</v>
      </c>
      <c r="B14" s="1496">
        <v>3000</v>
      </c>
      <c r="C14" s="1853">
        <f>'Expenditures 15-22'!K75</f>
        <v>1504855</v>
      </c>
      <c r="D14" s="1853">
        <f>'Expenditures 15-22'!K130</f>
        <v>0</v>
      </c>
      <c r="E14" s="1862" t="s">
        <v>1230</v>
      </c>
      <c r="F14" s="1853">
        <f>'Expenditures 15-22'!K185</f>
        <v>0</v>
      </c>
      <c r="G14" s="1853">
        <f>'Expenditures 15-22'!K280</f>
        <v>159797</v>
      </c>
      <c r="H14" s="1858"/>
      <c r="I14" s="463" t="s">
        <v>1230</v>
      </c>
      <c r="J14" s="463" t="s">
        <v>1230</v>
      </c>
      <c r="K14" s="1858" t="s">
        <v>1230</v>
      </c>
      <c r="L14" s="343"/>
    </row>
    <row r="15" spans="1:13" ht="15.75" customHeight="1" x14ac:dyDescent="0.2">
      <c r="A15" s="1494" t="s">
        <v>109</v>
      </c>
      <c r="B15" s="1496">
        <v>4000</v>
      </c>
      <c r="C15" s="1853">
        <f>'Expenditures 15-22'!K102</f>
        <v>495150</v>
      </c>
      <c r="D15" s="1853">
        <f>'Expenditures 15-22'!K139</f>
        <v>0</v>
      </c>
      <c r="E15" s="1853">
        <f>'Expenditures 15-22'!K160</f>
        <v>0</v>
      </c>
      <c r="F15" s="1853">
        <f>'Expenditures 15-22'!K196</f>
        <v>0</v>
      </c>
      <c r="G15" s="1853">
        <f>'Expenditures 15-22'!K285</f>
        <v>0</v>
      </c>
      <c r="H15" s="1853">
        <f>'Expenditures 15-22'!K310</f>
        <v>0</v>
      </c>
      <c r="I15" s="463" t="s">
        <v>1230</v>
      </c>
      <c r="J15" s="1866" t="s">
        <v>1230</v>
      </c>
      <c r="K15" s="1853">
        <f>'Expenditures 15-22'!K357</f>
        <v>0</v>
      </c>
      <c r="L15" s="343"/>
    </row>
    <row r="16" spans="1:13" ht="15.75" customHeight="1" x14ac:dyDescent="0.2">
      <c r="A16" s="1494" t="s">
        <v>469</v>
      </c>
      <c r="B16" s="1496">
        <v>5000</v>
      </c>
      <c r="C16" s="1853">
        <f>'Expenditures 15-22'!K112</f>
        <v>0</v>
      </c>
      <c r="D16" s="1853">
        <f>'Expenditures 15-22'!K149</f>
        <v>0</v>
      </c>
      <c r="E16" s="1853">
        <f>'Expenditures 15-22'!K172</f>
        <v>9434143</v>
      </c>
      <c r="F16" s="1853">
        <f>'Expenditures 15-22'!K208</f>
        <v>487830</v>
      </c>
      <c r="G16" s="1853">
        <f>'Expenditures 15-22'!K293</f>
        <v>0</v>
      </c>
      <c r="H16" s="1867"/>
      <c r="I16" s="463" t="s">
        <v>1230</v>
      </c>
      <c r="J16" s="1868">
        <f>'Expenditures 15-22'!K340</f>
        <v>0</v>
      </c>
      <c r="K16" s="1853">
        <f>'Expenditures 15-22'!K365</f>
        <v>0</v>
      </c>
      <c r="L16" s="343"/>
    </row>
    <row r="17" spans="1:12" ht="13.5" thickBot="1" x14ac:dyDescent="0.25">
      <c r="A17" s="1610" t="s">
        <v>50</v>
      </c>
      <c r="B17" s="1611"/>
      <c r="C17" s="1851">
        <f t="shared" ref="C17:H17" si="3">SUM(C12:C16)</f>
        <v>107630769</v>
      </c>
      <c r="D17" s="1851">
        <f t="shared" si="3"/>
        <v>13622382</v>
      </c>
      <c r="E17" s="1851">
        <f t="shared" si="3"/>
        <v>9434143</v>
      </c>
      <c r="F17" s="1851">
        <f t="shared" si="3"/>
        <v>7190635</v>
      </c>
      <c r="G17" s="1851">
        <f t="shared" si="3"/>
        <v>4606647</v>
      </c>
      <c r="H17" s="1851">
        <f t="shared" si="3"/>
        <v>8791759</v>
      </c>
      <c r="I17" s="463"/>
      <c r="J17" s="1851">
        <f>SUM(J12:J16)</f>
        <v>1145041</v>
      </c>
      <c r="K17" s="1851">
        <f>SUM(K12:K16)</f>
        <v>17901</v>
      </c>
      <c r="L17" s="343"/>
    </row>
    <row r="18" spans="1:12" ht="15" customHeight="1" thickTop="1" x14ac:dyDescent="0.2">
      <c r="A18" s="1637" t="s">
        <v>1752</v>
      </c>
      <c r="B18" s="1638">
        <v>4180</v>
      </c>
      <c r="C18" s="1852">
        <f t="shared" ref="C18:H18" si="4">C9</f>
        <v>44751741</v>
      </c>
      <c r="D18" s="1852">
        <f t="shared" si="4"/>
        <v>0</v>
      </c>
      <c r="E18" s="1852">
        <f t="shared" si="4"/>
        <v>0</v>
      </c>
      <c r="F18" s="1852">
        <f t="shared" si="4"/>
        <v>0</v>
      </c>
      <c r="G18" s="1852">
        <f t="shared" si="4"/>
        <v>0</v>
      </c>
      <c r="H18" s="1852">
        <f t="shared" si="4"/>
        <v>0</v>
      </c>
      <c r="I18" s="463"/>
      <c r="J18" s="1852">
        <f>J9</f>
        <v>0</v>
      </c>
      <c r="K18" s="1852">
        <f>K9</f>
        <v>0</v>
      </c>
      <c r="L18" s="343"/>
    </row>
    <row r="19" spans="1:12" ht="13.5" thickBot="1" x14ac:dyDescent="0.25">
      <c r="A19" s="1610" t="s">
        <v>525</v>
      </c>
      <c r="B19" s="1611"/>
      <c r="C19" s="1851">
        <f t="shared" ref="C19:H19" si="5">SUM(C17:C18)</f>
        <v>152382510</v>
      </c>
      <c r="D19" s="1851">
        <f t="shared" si="5"/>
        <v>13622382</v>
      </c>
      <c r="E19" s="1851">
        <f t="shared" si="5"/>
        <v>9434143</v>
      </c>
      <c r="F19" s="1851">
        <f t="shared" si="5"/>
        <v>7190635</v>
      </c>
      <c r="G19" s="1851">
        <f t="shared" si="5"/>
        <v>4606647</v>
      </c>
      <c r="H19" s="1851">
        <f t="shared" si="5"/>
        <v>8791759</v>
      </c>
      <c r="I19" s="463"/>
      <c r="J19" s="1851">
        <f>SUM(J17:J18)</f>
        <v>1145041</v>
      </c>
      <c r="K19" s="1851">
        <f>SUM(K17:K18)</f>
        <v>17901</v>
      </c>
      <c r="L19" s="343"/>
    </row>
    <row r="20" spans="1:12" ht="16.5" thickTop="1" thickBot="1" x14ac:dyDescent="0.25">
      <c r="A20" s="2196" t="s">
        <v>1753</v>
      </c>
      <c r="B20" s="2197"/>
      <c r="C20" s="1869">
        <f>C8-C17</f>
        <v>1566367</v>
      </c>
      <c r="D20" s="1869">
        <f t="shared" ref="D20:K20" si="6">D8-D17</f>
        <v>-3718235</v>
      </c>
      <c r="E20" s="1869">
        <f t="shared" si="6"/>
        <v>7938333</v>
      </c>
      <c r="F20" s="1869">
        <f t="shared" si="6"/>
        <v>454766</v>
      </c>
      <c r="G20" s="1869">
        <f t="shared" si="6"/>
        <v>-516395</v>
      </c>
      <c r="H20" s="1869">
        <f t="shared" si="6"/>
        <v>-6458932</v>
      </c>
      <c r="I20" s="1869">
        <f t="shared" si="6"/>
        <v>135160</v>
      </c>
      <c r="J20" s="1869">
        <f t="shared" si="6"/>
        <v>-625816</v>
      </c>
      <c r="K20" s="1869">
        <f t="shared" si="6"/>
        <v>92057</v>
      </c>
      <c r="L20" s="343"/>
    </row>
    <row r="21" spans="1:12" ht="16.7" customHeight="1" thickTop="1" x14ac:dyDescent="0.2">
      <c r="A21" s="2208" t="s">
        <v>615</v>
      </c>
      <c r="B21" s="2209"/>
      <c r="C21" s="1843"/>
      <c r="D21" s="1844"/>
      <c r="E21" s="1844"/>
      <c r="F21" s="1844"/>
      <c r="G21" s="1844"/>
      <c r="H21" s="1844"/>
      <c r="I21" s="1844"/>
      <c r="J21" s="1844"/>
      <c r="K21" s="1861"/>
      <c r="L21" s="496"/>
    </row>
    <row r="22" spans="1:12" ht="15.75" customHeight="1" collapsed="1" x14ac:dyDescent="0.2">
      <c r="A22" s="2204" t="s">
        <v>616</v>
      </c>
      <c r="B22" s="2205"/>
      <c r="C22" s="469"/>
      <c r="D22" s="469"/>
      <c r="E22" s="469"/>
      <c r="F22" s="469"/>
      <c r="G22" s="469"/>
      <c r="H22" s="469"/>
      <c r="I22" s="469"/>
      <c r="J22" s="469"/>
      <c r="K22" s="469"/>
      <c r="L22" s="343"/>
    </row>
    <row r="23" spans="1:12" s="475" customFormat="1" ht="15.75" customHeight="1" x14ac:dyDescent="0.2">
      <c r="A23" s="2200" t="s">
        <v>310</v>
      </c>
      <c r="B23" s="2201"/>
      <c r="C23" s="1842"/>
      <c r="D23" s="469"/>
      <c r="E23" s="469"/>
      <c r="F23" s="469"/>
      <c r="G23" s="469"/>
      <c r="H23" s="469"/>
      <c r="I23" s="469"/>
      <c r="J23" s="469"/>
      <c r="K23" s="469"/>
      <c r="L23" s="496"/>
    </row>
    <row r="24" spans="1:12" s="475" customFormat="1" ht="13.5" customHeight="1" x14ac:dyDescent="0.2">
      <c r="A24" s="1416" t="s">
        <v>1754</v>
      </c>
      <c r="B24" s="497">
        <v>7110</v>
      </c>
      <c r="C24" s="462"/>
      <c r="D24" s="469"/>
      <c r="E24" s="469"/>
      <c r="F24" s="469"/>
      <c r="G24" s="469"/>
      <c r="H24" s="469"/>
      <c r="I24" s="469"/>
      <c r="J24" s="469"/>
      <c r="K24" s="469"/>
      <c r="L24" s="496"/>
    </row>
    <row r="25" spans="1:12" s="475" customFormat="1" ht="13.5" customHeight="1" x14ac:dyDescent="0.2">
      <c r="A25" s="1416" t="s">
        <v>1755</v>
      </c>
      <c r="B25" s="497">
        <v>7110</v>
      </c>
      <c r="C25" s="462">
        <v>0</v>
      </c>
      <c r="D25" s="462">
        <v>0</v>
      </c>
      <c r="E25" s="462">
        <v>0</v>
      </c>
      <c r="F25" s="462">
        <v>0</v>
      </c>
      <c r="G25" s="462">
        <v>0</v>
      </c>
      <c r="H25" s="462">
        <v>0</v>
      </c>
      <c r="I25" s="469"/>
      <c r="J25" s="462">
        <v>0</v>
      </c>
      <c r="K25" s="462">
        <v>0</v>
      </c>
      <c r="L25" s="496"/>
    </row>
    <row r="26" spans="1:12" s="475" customFormat="1" ht="13.5" customHeight="1" x14ac:dyDescent="0.2">
      <c r="A26" s="1416" t="s">
        <v>193</v>
      </c>
      <c r="B26" s="473">
        <v>7120</v>
      </c>
      <c r="C26" s="462">
        <v>64179</v>
      </c>
      <c r="D26" s="462">
        <v>0</v>
      </c>
      <c r="E26" s="462">
        <v>0</v>
      </c>
      <c r="F26" s="462">
        <v>0</v>
      </c>
      <c r="G26" s="462">
        <v>0</v>
      </c>
      <c r="H26" s="462">
        <v>0</v>
      </c>
      <c r="I26" s="469"/>
      <c r="J26" s="462">
        <v>0</v>
      </c>
      <c r="K26" s="462">
        <v>0</v>
      </c>
      <c r="L26" s="496"/>
    </row>
    <row r="27" spans="1:12" s="475" customFormat="1" ht="13.5" customHeight="1" x14ac:dyDescent="0.2">
      <c r="A27" s="1416" t="s">
        <v>194</v>
      </c>
      <c r="B27" s="473">
        <v>7130</v>
      </c>
      <c r="C27" s="462">
        <v>0</v>
      </c>
      <c r="D27" s="462">
        <v>0</v>
      </c>
      <c r="E27" s="1870"/>
      <c r="F27" s="462">
        <v>0</v>
      </c>
      <c r="G27" s="1842"/>
      <c r="H27" s="1842"/>
      <c r="I27" s="1842"/>
      <c r="J27" s="1842"/>
      <c r="K27" s="1842"/>
      <c r="L27" s="496"/>
    </row>
    <row r="28" spans="1:12" s="475" customFormat="1" ht="13.5" customHeight="1" x14ac:dyDescent="0.2">
      <c r="A28" s="1416"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416" t="s">
        <v>311</v>
      </c>
      <c r="B29" s="473">
        <v>7150</v>
      </c>
      <c r="C29" s="468"/>
      <c r="D29" s="462">
        <v>0</v>
      </c>
      <c r="E29" s="468"/>
      <c r="F29" s="468"/>
      <c r="G29" s="468"/>
      <c r="H29" s="468"/>
      <c r="I29" s="468"/>
      <c r="J29" s="468"/>
      <c r="K29" s="468"/>
      <c r="L29" s="496"/>
    </row>
    <row r="30" spans="1:12" s="475" customFormat="1" ht="26.25" x14ac:dyDescent="0.2">
      <c r="A30" s="1416" t="s">
        <v>1893</v>
      </c>
      <c r="B30" s="498">
        <v>7160</v>
      </c>
      <c r="C30" s="469"/>
      <c r="D30" s="462">
        <v>0</v>
      </c>
      <c r="E30" s="469"/>
      <c r="F30" s="469"/>
      <c r="G30" s="469"/>
      <c r="H30" s="469"/>
      <c r="I30" s="469"/>
      <c r="J30" s="469"/>
      <c r="K30" s="469"/>
      <c r="L30" s="496"/>
    </row>
    <row r="31" spans="1:12" s="475" customFormat="1" ht="26.25" x14ac:dyDescent="0.2">
      <c r="A31" s="1416" t="s">
        <v>1897</v>
      </c>
      <c r="B31" s="498">
        <v>7170</v>
      </c>
      <c r="C31" s="469"/>
      <c r="D31" s="469"/>
      <c r="E31" s="1829">
        <v>0</v>
      </c>
      <c r="F31" s="469"/>
      <c r="G31" s="469"/>
      <c r="H31" s="469"/>
      <c r="I31" s="469"/>
      <c r="J31" s="469"/>
      <c r="K31" s="469"/>
      <c r="L31" s="496"/>
    </row>
    <row r="32" spans="1:12" s="475" customFormat="1" ht="15.75" customHeight="1" x14ac:dyDescent="0.2">
      <c r="A32" s="2202" t="s">
        <v>1037</v>
      </c>
      <c r="B32" s="2203"/>
      <c r="C32" s="469"/>
      <c r="D32" s="469"/>
      <c r="E32" s="468"/>
      <c r="F32" s="469"/>
      <c r="G32" s="469"/>
      <c r="H32" s="469"/>
      <c r="I32" s="469"/>
      <c r="J32" s="469"/>
      <c r="K32" s="469"/>
      <c r="L32" s="496"/>
    </row>
    <row r="33" spans="1:12" s="475" customFormat="1" x14ac:dyDescent="0.2">
      <c r="A33" s="1416" t="s">
        <v>431</v>
      </c>
      <c r="B33" s="497">
        <v>7210</v>
      </c>
      <c r="C33" s="462">
        <v>0</v>
      </c>
      <c r="D33" s="462">
        <v>0</v>
      </c>
      <c r="E33" s="462">
        <v>0</v>
      </c>
      <c r="F33" s="462">
        <v>0</v>
      </c>
      <c r="G33" s="469"/>
      <c r="H33" s="462">
        <v>110000000</v>
      </c>
      <c r="I33" s="462">
        <v>0</v>
      </c>
      <c r="J33" s="462">
        <v>0</v>
      </c>
      <c r="K33" s="462">
        <v>0</v>
      </c>
      <c r="L33" s="496"/>
    </row>
    <row r="34" spans="1:12" s="475" customFormat="1" x14ac:dyDescent="0.2">
      <c r="A34" s="1416" t="s">
        <v>1057</v>
      </c>
      <c r="B34" s="497">
        <v>7220</v>
      </c>
      <c r="C34" s="462">
        <v>0</v>
      </c>
      <c r="D34" s="462">
        <v>0</v>
      </c>
      <c r="E34" s="462">
        <v>0</v>
      </c>
      <c r="F34" s="462">
        <v>0</v>
      </c>
      <c r="G34" s="469"/>
      <c r="H34" s="1831">
        <v>15099499</v>
      </c>
      <c r="I34" s="1831">
        <v>0</v>
      </c>
      <c r="J34" s="1831">
        <v>0</v>
      </c>
      <c r="K34" s="1831">
        <v>0</v>
      </c>
      <c r="L34" s="496"/>
    </row>
    <row r="35" spans="1:12" s="475" customFormat="1" x14ac:dyDescent="0.2">
      <c r="A35" s="1416" t="s">
        <v>1046</v>
      </c>
      <c r="B35" s="497">
        <v>7230</v>
      </c>
      <c r="C35" s="462">
        <v>0</v>
      </c>
      <c r="D35" s="462">
        <v>0</v>
      </c>
      <c r="E35" s="462">
        <v>0</v>
      </c>
      <c r="F35" s="462">
        <v>0</v>
      </c>
      <c r="G35" s="1842"/>
      <c r="H35" s="462">
        <v>0</v>
      </c>
      <c r="I35" s="462">
        <v>0</v>
      </c>
      <c r="J35" s="462">
        <v>0</v>
      </c>
      <c r="K35" s="462">
        <v>0</v>
      </c>
      <c r="L35" s="496"/>
    </row>
    <row r="36" spans="1:12" s="475" customFormat="1" ht="15" x14ac:dyDescent="0.2">
      <c r="A36" s="1416" t="s">
        <v>1756</v>
      </c>
      <c r="B36" s="497">
        <v>7300</v>
      </c>
      <c r="C36" s="462">
        <v>0</v>
      </c>
      <c r="D36" s="462">
        <v>0</v>
      </c>
      <c r="E36" s="462">
        <v>0</v>
      </c>
      <c r="F36" s="462">
        <v>0</v>
      </c>
      <c r="G36" s="462">
        <v>0</v>
      </c>
      <c r="H36" s="462">
        <v>0</v>
      </c>
      <c r="I36" s="468"/>
      <c r="J36" s="462">
        <v>0</v>
      </c>
      <c r="K36" s="462">
        <v>0</v>
      </c>
      <c r="L36" s="496"/>
    </row>
    <row r="37" spans="1:12" s="475" customFormat="1" x14ac:dyDescent="0.2">
      <c r="A37" s="1416" t="s">
        <v>460</v>
      </c>
      <c r="B37" s="497">
        <v>7400</v>
      </c>
      <c r="C37" s="468"/>
      <c r="D37" s="468"/>
      <c r="E37" s="1864">
        <f>SUM(C54:D57,H54:H57)</f>
        <v>732433</v>
      </c>
      <c r="F37" s="468"/>
      <c r="G37" s="468"/>
      <c r="H37" s="468"/>
      <c r="I37" s="469"/>
      <c r="J37" s="468"/>
      <c r="K37" s="468"/>
      <c r="L37" s="496"/>
    </row>
    <row r="38" spans="1:12" s="475" customFormat="1" x14ac:dyDescent="0.2">
      <c r="A38" s="1416" t="s">
        <v>461</v>
      </c>
      <c r="B38" s="497">
        <v>7500</v>
      </c>
      <c r="C38" s="469"/>
      <c r="D38" s="469"/>
      <c r="E38" s="1864">
        <f>SUM(C58:D61,H58:H61)</f>
        <v>41078</v>
      </c>
      <c r="F38" s="469"/>
      <c r="G38" s="469"/>
      <c r="H38" s="469"/>
      <c r="I38" s="469"/>
      <c r="J38" s="469"/>
      <c r="K38" s="469"/>
      <c r="L38" s="496"/>
    </row>
    <row r="39" spans="1:12" s="475" customFormat="1" x14ac:dyDescent="0.2">
      <c r="A39" s="1416" t="s">
        <v>462</v>
      </c>
      <c r="B39" s="497">
        <v>7600</v>
      </c>
      <c r="C39" s="469"/>
      <c r="D39" s="469"/>
      <c r="E39" s="1864">
        <f>SUM(C62:D65)</f>
        <v>0</v>
      </c>
      <c r="F39" s="469"/>
      <c r="G39" s="469"/>
      <c r="H39" s="469"/>
      <c r="I39" s="469"/>
      <c r="J39" s="469"/>
      <c r="K39" s="469"/>
      <c r="L39" s="496"/>
    </row>
    <row r="40" spans="1:12" s="475" customFormat="1" ht="13.5" customHeight="1" x14ac:dyDescent="0.2">
      <c r="A40" s="1416" t="s">
        <v>662</v>
      </c>
      <c r="B40" s="473">
        <v>7700</v>
      </c>
      <c r="C40" s="469"/>
      <c r="D40" s="469"/>
      <c r="E40" s="1864">
        <f>SUM(C66:D69)</f>
        <v>0</v>
      </c>
      <c r="F40" s="469"/>
      <c r="G40" s="469"/>
      <c r="H40" s="1842"/>
      <c r="I40" s="469"/>
      <c r="J40" s="469"/>
      <c r="K40" s="469"/>
      <c r="L40" s="496"/>
    </row>
    <row r="41" spans="1:12" s="475" customFormat="1" ht="13.5" customHeight="1" x14ac:dyDescent="0.2">
      <c r="A41" s="1416" t="s">
        <v>660</v>
      </c>
      <c r="B41" s="473">
        <v>7800</v>
      </c>
      <c r="C41" s="1842"/>
      <c r="D41" s="1842"/>
      <c r="E41" s="1870"/>
      <c r="F41" s="1842"/>
      <c r="G41" s="1842"/>
      <c r="H41" s="1864">
        <f>SUM(C70:D73)</f>
        <v>0</v>
      </c>
      <c r="I41" s="469"/>
      <c r="J41" s="469"/>
      <c r="K41" s="1842"/>
      <c r="L41" s="496"/>
    </row>
    <row r="42" spans="1:12" s="475" customFormat="1" ht="13.5" customHeight="1" x14ac:dyDescent="0.2">
      <c r="A42" s="1416" t="s">
        <v>661</v>
      </c>
      <c r="B42" s="473">
        <v>7900</v>
      </c>
      <c r="C42" s="462">
        <v>0</v>
      </c>
      <c r="D42" s="462">
        <v>0</v>
      </c>
      <c r="E42" s="462">
        <v>0</v>
      </c>
      <c r="F42" s="462">
        <v>0</v>
      </c>
      <c r="G42" s="462">
        <v>0</v>
      </c>
      <c r="H42" s="462">
        <v>0</v>
      </c>
      <c r="I42" s="1842"/>
      <c r="J42" s="1842"/>
      <c r="K42" s="462">
        <v>0</v>
      </c>
      <c r="L42" s="496"/>
    </row>
    <row r="43" spans="1:12" s="475" customFormat="1" ht="13.5" customHeight="1" x14ac:dyDescent="0.2">
      <c r="A43" s="1416" t="s">
        <v>390</v>
      </c>
      <c r="B43" s="473">
        <v>7990</v>
      </c>
      <c r="C43" s="462">
        <v>821108</v>
      </c>
      <c r="D43" s="462">
        <v>2720000</v>
      </c>
      <c r="E43" s="462">
        <v>0</v>
      </c>
      <c r="F43" s="462">
        <v>397885</v>
      </c>
      <c r="G43" s="462">
        <v>0</v>
      </c>
      <c r="H43" s="462">
        <v>0</v>
      </c>
      <c r="I43" s="462">
        <v>0</v>
      </c>
      <c r="J43" s="462">
        <v>0</v>
      </c>
      <c r="K43" s="462">
        <v>0</v>
      </c>
      <c r="L43" s="496"/>
    </row>
    <row r="44" spans="1:12" s="475" customFormat="1" ht="13.5" customHeight="1" thickBot="1" x14ac:dyDescent="0.25">
      <c r="A44" s="2210" t="s">
        <v>391</v>
      </c>
      <c r="B44" s="2211"/>
      <c r="C44" s="1871">
        <f>SUM(C24:C43)</f>
        <v>885287</v>
      </c>
      <c r="D44" s="1871">
        <f t="shared" ref="D44:K44" si="7">SUM(D24:D43)</f>
        <v>2720000</v>
      </c>
      <c r="E44" s="1871">
        <f t="shared" si="7"/>
        <v>773511</v>
      </c>
      <c r="F44" s="1871">
        <f t="shared" si="7"/>
        <v>397885</v>
      </c>
      <c r="G44" s="1871">
        <f t="shared" si="7"/>
        <v>0</v>
      </c>
      <c r="H44" s="1871">
        <f t="shared" si="7"/>
        <v>125099499</v>
      </c>
      <c r="I44" s="1871">
        <f t="shared" si="7"/>
        <v>0</v>
      </c>
      <c r="J44" s="1871">
        <f t="shared" si="7"/>
        <v>0</v>
      </c>
      <c r="K44" s="1871">
        <f t="shared" si="7"/>
        <v>0</v>
      </c>
      <c r="L44" s="496"/>
    </row>
    <row r="45" spans="1:12" ht="15.75" customHeight="1" thickTop="1" x14ac:dyDescent="0.2">
      <c r="A45" s="2204" t="s">
        <v>110</v>
      </c>
      <c r="B45" s="2205"/>
      <c r="C45" s="1872"/>
      <c r="D45" s="1872"/>
      <c r="E45" s="1872"/>
      <c r="F45" s="1872"/>
      <c r="G45" s="1872"/>
      <c r="H45" s="1872"/>
      <c r="I45" s="1872"/>
      <c r="J45" s="1872"/>
      <c r="K45" s="1872"/>
      <c r="L45" s="343"/>
    </row>
    <row r="46" spans="1:12" s="475" customFormat="1" ht="15.75" customHeight="1" x14ac:dyDescent="0.2">
      <c r="A46" s="2212" t="s">
        <v>111</v>
      </c>
      <c r="B46" s="2213"/>
      <c r="C46" s="469"/>
      <c r="D46" s="469"/>
      <c r="E46" s="469"/>
      <c r="F46" s="469"/>
      <c r="G46" s="469"/>
      <c r="H46" s="469"/>
      <c r="I46" s="1842"/>
      <c r="J46" s="469"/>
      <c r="K46" s="469"/>
      <c r="L46" s="499"/>
    </row>
    <row r="47" spans="1:12" s="475" customFormat="1" ht="15" x14ac:dyDescent="0.2">
      <c r="A47" s="1417" t="s">
        <v>1757</v>
      </c>
      <c r="B47" s="473">
        <v>8110</v>
      </c>
      <c r="C47" s="469"/>
      <c r="D47" s="469"/>
      <c r="E47" s="469"/>
      <c r="F47" s="469"/>
      <c r="G47" s="469"/>
      <c r="H47" s="469"/>
      <c r="I47" s="1864">
        <f>SUM(C24,C25:H25,J25:K25)</f>
        <v>0</v>
      </c>
      <c r="J47" s="469"/>
      <c r="K47" s="469"/>
      <c r="L47" s="499"/>
    </row>
    <row r="48" spans="1:12" s="475" customFormat="1" ht="15" x14ac:dyDescent="0.2">
      <c r="A48" s="1417" t="s">
        <v>1758</v>
      </c>
      <c r="B48" s="473">
        <v>8120</v>
      </c>
      <c r="C48" s="1842"/>
      <c r="D48" s="1842"/>
      <c r="E48" s="469"/>
      <c r="F48" s="1842"/>
      <c r="G48" s="469"/>
      <c r="H48" s="469"/>
      <c r="I48" s="1864">
        <f>SUM(C26:H26,J26,K26)</f>
        <v>64179</v>
      </c>
      <c r="J48" s="469"/>
      <c r="K48" s="469"/>
      <c r="L48" s="499"/>
    </row>
    <row r="49" spans="1:12" s="475" customFormat="1" x14ac:dyDescent="0.2">
      <c r="A49" s="1417" t="s">
        <v>194</v>
      </c>
      <c r="B49" s="473">
        <v>8130</v>
      </c>
      <c r="C49" s="461">
        <v>0</v>
      </c>
      <c r="D49" s="461">
        <v>0</v>
      </c>
      <c r="E49" s="1842"/>
      <c r="F49" s="461">
        <v>0</v>
      </c>
      <c r="G49" s="1842"/>
      <c r="H49" s="1842"/>
      <c r="I49" s="469"/>
      <c r="J49" s="1842"/>
      <c r="K49" s="469"/>
      <c r="L49" s="496"/>
    </row>
    <row r="50" spans="1:12" s="475" customFormat="1" x14ac:dyDescent="0.2">
      <c r="A50" s="1417" t="s">
        <v>1464</v>
      </c>
      <c r="B50" s="473">
        <v>8140</v>
      </c>
      <c r="C50" s="461">
        <v>0</v>
      </c>
      <c r="D50" s="461">
        <v>0</v>
      </c>
      <c r="E50" s="461">
        <v>0</v>
      </c>
      <c r="F50" s="461">
        <v>0</v>
      </c>
      <c r="G50" s="461">
        <v>0</v>
      </c>
      <c r="H50" s="461">
        <v>0</v>
      </c>
      <c r="I50" s="469"/>
      <c r="J50" s="461">
        <v>0</v>
      </c>
      <c r="K50" s="469"/>
      <c r="L50" s="496"/>
    </row>
    <row r="51" spans="1:12" s="475" customFormat="1" x14ac:dyDescent="0.2">
      <c r="A51" s="1417" t="s">
        <v>311</v>
      </c>
      <c r="B51" s="473">
        <v>8150</v>
      </c>
      <c r="C51" s="468"/>
      <c r="D51" s="468"/>
      <c r="E51" s="468"/>
      <c r="F51" s="468"/>
      <c r="G51" s="468"/>
      <c r="H51" s="1864">
        <f>SUM(D29)</f>
        <v>0</v>
      </c>
      <c r="I51" s="469"/>
      <c r="J51" s="468"/>
      <c r="K51" s="1842"/>
      <c r="L51" s="496"/>
    </row>
    <row r="52" spans="1:12" s="475" customFormat="1" ht="26.25" x14ac:dyDescent="0.2">
      <c r="A52" s="1417" t="s">
        <v>1896</v>
      </c>
      <c r="B52" s="473">
        <v>8160</v>
      </c>
      <c r="C52" s="469"/>
      <c r="D52" s="469"/>
      <c r="E52" s="469"/>
      <c r="F52" s="469"/>
      <c r="G52" s="469"/>
      <c r="H52" s="469"/>
      <c r="I52" s="469"/>
      <c r="J52" s="469"/>
      <c r="K52" s="1864">
        <f>D30</f>
        <v>0</v>
      </c>
      <c r="L52" s="496"/>
    </row>
    <row r="53" spans="1:12" s="475" customFormat="1" ht="26.25" x14ac:dyDescent="0.2">
      <c r="A53" s="1417" t="s">
        <v>1895</v>
      </c>
      <c r="B53" s="473">
        <v>8170</v>
      </c>
      <c r="C53" s="1842"/>
      <c r="D53" s="1842"/>
      <c r="E53" s="469"/>
      <c r="F53" s="469"/>
      <c r="G53" s="469"/>
      <c r="H53" s="1842"/>
      <c r="I53" s="469"/>
      <c r="J53" s="469"/>
      <c r="K53" s="1864">
        <f>E31</f>
        <v>0</v>
      </c>
      <c r="L53" s="496"/>
    </row>
    <row r="54" spans="1:12" s="475" customFormat="1" ht="13.5" thickBot="1" x14ac:dyDescent="0.25">
      <c r="A54" s="1417" t="s">
        <v>715</v>
      </c>
      <c r="B54" s="473">
        <v>8410</v>
      </c>
      <c r="C54" s="1873"/>
      <c r="D54" s="1873"/>
      <c r="E54" s="469"/>
      <c r="F54" s="469"/>
      <c r="G54" s="469"/>
      <c r="H54" s="1873"/>
      <c r="I54" s="469"/>
      <c r="J54" s="469"/>
      <c r="K54" s="468"/>
      <c r="L54" s="496"/>
    </row>
    <row r="55" spans="1:12" s="475" customFormat="1" ht="14.25" thickTop="1" thickBot="1" x14ac:dyDescent="0.25">
      <c r="A55" s="1418" t="s">
        <v>716</v>
      </c>
      <c r="B55" s="473">
        <v>8420</v>
      </c>
      <c r="C55" s="1874"/>
      <c r="D55" s="1874"/>
      <c r="E55" s="469"/>
      <c r="F55" s="469"/>
      <c r="G55" s="469"/>
      <c r="H55" s="1873"/>
      <c r="I55" s="469"/>
      <c r="J55" s="469"/>
      <c r="K55" s="469"/>
      <c r="L55" s="496"/>
    </row>
    <row r="56" spans="1:12" s="475" customFormat="1" ht="14.25" thickTop="1" thickBot="1" x14ac:dyDescent="0.25">
      <c r="A56" s="1417" t="s">
        <v>601</v>
      </c>
      <c r="B56" s="473">
        <v>8430</v>
      </c>
      <c r="C56" s="1874"/>
      <c r="D56" s="1874"/>
      <c r="E56" s="469"/>
      <c r="F56" s="469"/>
      <c r="G56" s="469"/>
      <c r="H56" s="1873"/>
      <c r="I56" s="469"/>
      <c r="J56" s="469"/>
      <c r="K56" s="469"/>
      <c r="L56" s="496"/>
    </row>
    <row r="57" spans="1:12" s="475" customFormat="1" ht="14.25" thickTop="1" thickBot="1" x14ac:dyDescent="0.25">
      <c r="A57" s="1418" t="s">
        <v>598</v>
      </c>
      <c r="B57" s="473">
        <v>8440</v>
      </c>
      <c r="C57" s="1875">
        <v>711221</v>
      </c>
      <c r="D57" s="1875">
        <v>21212</v>
      </c>
      <c r="E57" s="469"/>
      <c r="F57" s="469"/>
      <c r="G57" s="469"/>
      <c r="H57" s="1876">
        <v>0</v>
      </c>
      <c r="I57" s="469"/>
      <c r="J57" s="469"/>
      <c r="K57" s="469"/>
      <c r="L57" s="496"/>
    </row>
    <row r="58" spans="1:12" s="475" customFormat="1" ht="14.25" thickTop="1" thickBot="1" x14ac:dyDescent="0.25">
      <c r="A58" s="1417" t="s">
        <v>599</v>
      </c>
      <c r="B58" s="473">
        <v>8510</v>
      </c>
      <c r="C58" s="1874"/>
      <c r="D58" s="1874"/>
      <c r="E58" s="469"/>
      <c r="F58" s="469"/>
      <c r="G58" s="469"/>
      <c r="H58" s="1873"/>
      <c r="I58" s="469"/>
      <c r="J58" s="469"/>
      <c r="K58" s="469"/>
      <c r="L58" s="496"/>
    </row>
    <row r="59" spans="1:12" s="475" customFormat="1" ht="14.25" thickTop="1" thickBot="1" x14ac:dyDescent="0.25">
      <c r="A59" s="1419" t="s">
        <v>717</v>
      </c>
      <c r="B59" s="473">
        <v>8520</v>
      </c>
      <c r="C59" s="1874"/>
      <c r="D59" s="1874"/>
      <c r="E59" s="469"/>
      <c r="F59" s="469"/>
      <c r="G59" s="469"/>
      <c r="H59" s="1873"/>
      <c r="I59" s="469"/>
      <c r="J59" s="469"/>
      <c r="K59" s="469"/>
      <c r="L59" s="496"/>
    </row>
    <row r="60" spans="1:12" s="475" customFormat="1" ht="14.25" thickTop="1" thickBot="1" x14ac:dyDescent="0.25">
      <c r="A60" s="1417" t="s">
        <v>600</v>
      </c>
      <c r="B60" s="473">
        <v>8530</v>
      </c>
      <c r="C60" s="1874"/>
      <c r="D60" s="1874"/>
      <c r="E60" s="469"/>
      <c r="F60" s="469"/>
      <c r="G60" s="469"/>
      <c r="H60" s="1873"/>
      <c r="I60" s="469"/>
      <c r="J60" s="469"/>
      <c r="K60" s="469"/>
      <c r="L60" s="496"/>
    </row>
    <row r="61" spans="1:12" s="475" customFormat="1" ht="14.25" thickTop="1" thickBot="1" x14ac:dyDescent="0.25">
      <c r="A61" s="1418" t="s">
        <v>766</v>
      </c>
      <c r="B61" s="473">
        <v>8540</v>
      </c>
      <c r="C61" s="1875">
        <v>34427</v>
      </c>
      <c r="D61" s="1875">
        <v>6651</v>
      </c>
      <c r="E61" s="469"/>
      <c r="F61" s="469"/>
      <c r="G61" s="469"/>
      <c r="H61" s="1876">
        <v>0</v>
      </c>
      <c r="I61" s="469"/>
      <c r="J61" s="469"/>
      <c r="K61" s="469"/>
      <c r="L61" s="496"/>
    </row>
    <row r="62" spans="1:12" s="475" customFormat="1" ht="13.5" customHeight="1" thickTop="1" thickBot="1" x14ac:dyDescent="0.25">
      <c r="A62" s="1417" t="s">
        <v>767</v>
      </c>
      <c r="B62" s="473">
        <v>8610</v>
      </c>
      <c r="C62" s="1874"/>
      <c r="D62" s="1874"/>
      <c r="E62" s="469"/>
      <c r="F62" s="469"/>
      <c r="G62" s="469"/>
      <c r="H62" s="469"/>
      <c r="I62" s="469"/>
      <c r="J62" s="469"/>
      <c r="K62" s="469"/>
      <c r="L62" s="496"/>
    </row>
    <row r="63" spans="1:12" s="475" customFormat="1" ht="14.25" thickTop="1" thickBot="1" x14ac:dyDescent="0.25">
      <c r="A63" s="1418" t="s">
        <v>718</v>
      </c>
      <c r="B63" s="473">
        <v>8620</v>
      </c>
      <c r="C63" s="1874"/>
      <c r="D63" s="1874"/>
      <c r="E63" s="469"/>
      <c r="F63" s="469"/>
      <c r="G63" s="469"/>
      <c r="H63" s="469"/>
      <c r="I63" s="469"/>
      <c r="J63" s="469"/>
      <c r="K63" s="469"/>
      <c r="L63" s="496"/>
    </row>
    <row r="64" spans="1:12" s="475" customFormat="1" ht="13.5" customHeight="1" thickTop="1" thickBot="1" x14ac:dyDescent="0.25">
      <c r="A64" s="1417" t="s">
        <v>768</v>
      </c>
      <c r="B64" s="473">
        <v>8630</v>
      </c>
      <c r="C64" s="1874"/>
      <c r="D64" s="1874"/>
      <c r="E64" s="469"/>
      <c r="F64" s="469"/>
      <c r="G64" s="469"/>
      <c r="H64" s="469"/>
      <c r="I64" s="469"/>
      <c r="J64" s="469"/>
      <c r="K64" s="469"/>
      <c r="L64" s="496"/>
    </row>
    <row r="65" spans="1:12" s="475" customFormat="1" ht="14.25" thickTop="1" thickBot="1" x14ac:dyDescent="0.25">
      <c r="A65" s="1418" t="s">
        <v>769</v>
      </c>
      <c r="B65" s="473">
        <v>8640</v>
      </c>
      <c r="C65" s="1875">
        <v>0</v>
      </c>
      <c r="D65" s="1875">
        <v>0</v>
      </c>
      <c r="E65" s="469"/>
      <c r="F65" s="469"/>
      <c r="G65" s="469"/>
      <c r="H65" s="469"/>
      <c r="I65" s="469"/>
      <c r="J65" s="469"/>
      <c r="K65" s="469"/>
      <c r="L65" s="496"/>
    </row>
    <row r="66" spans="1:12" s="475" customFormat="1" ht="14.25" thickTop="1" thickBot="1" x14ac:dyDescent="0.25">
      <c r="A66" s="1417" t="s">
        <v>770</v>
      </c>
      <c r="B66" s="473">
        <v>8710</v>
      </c>
      <c r="C66" s="1874"/>
      <c r="D66" s="1874"/>
      <c r="E66" s="469"/>
      <c r="F66" s="469"/>
      <c r="G66" s="469"/>
      <c r="H66" s="469"/>
      <c r="I66" s="469"/>
      <c r="J66" s="469"/>
      <c r="K66" s="469"/>
      <c r="L66" s="496"/>
    </row>
    <row r="67" spans="1:12" s="475" customFormat="1" ht="14.25" thickTop="1" thickBot="1" x14ac:dyDescent="0.25">
      <c r="A67" s="1418" t="s">
        <v>719</v>
      </c>
      <c r="B67" s="473">
        <v>8720</v>
      </c>
      <c r="C67" s="1874"/>
      <c r="D67" s="1874"/>
      <c r="E67" s="469"/>
      <c r="F67" s="469"/>
      <c r="G67" s="469"/>
      <c r="H67" s="469"/>
      <c r="I67" s="469"/>
      <c r="J67" s="469"/>
      <c r="K67" s="469"/>
      <c r="L67" s="496"/>
    </row>
    <row r="68" spans="1:12" s="475" customFormat="1" ht="14.25" thickTop="1" thickBot="1" x14ac:dyDescent="0.25">
      <c r="A68" s="1419" t="s">
        <v>771</v>
      </c>
      <c r="B68" s="473">
        <v>8730</v>
      </c>
      <c r="C68" s="1874"/>
      <c r="D68" s="1874"/>
      <c r="E68" s="469"/>
      <c r="F68" s="469"/>
      <c r="G68" s="469"/>
      <c r="H68" s="469"/>
      <c r="I68" s="469"/>
      <c r="J68" s="469"/>
      <c r="K68" s="469"/>
      <c r="L68" s="496"/>
    </row>
    <row r="69" spans="1:12" s="475" customFormat="1" ht="14.25" thickTop="1" thickBot="1" x14ac:dyDescent="0.25">
      <c r="A69" s="1418" t="s">
        <v>772</v>
      </c>
      <c r="B69" s="473">
        <v>8740</v>
      </c>
      <c r="C69" s="1875">
        <v>0</v>
      </c>
      <c r="D69" s="1875">
        <v>0</v>
      </c>
      <c r="E69" s="469"/>
      <c r="F69" s="469"/>
      <c r="G69" s="469"/>
      <c r="H69" s="469"/>
      <c r="I69" s="469"/>
      <c r="J69" s="469"/>
      <c r="K69" s="469"/>
      <c r="L69" s="496"/>
    </row>
    <row r="70" spans="1:12" s="475" customFormat="1" ht="14.25" thickTop="1" thickBot="1" x14ac:dyDescent="0.25">
      <c r="A70" s="1417" t="s">
        <v>773</v>
      </c>
      <c r="B70" s="473">
        <v>8810</v>
      </c>
      <c r="C70" s="1874"/>
      <c r="D70" s="1874"/>
      <c r="E70" s="469"/>
      <c r="F70" s="469"/>
      <c r="G70" s="469"/>
      <c r="H70" s="469"/>
      <c r="I70" s="469"/>
      <c r="J70" s="469"/>
      <c r="K70" s="469"/>
      <c r="L70" s="496"/>
    </row>
    <row r="71" spans="1:12" s="475" customFormat="1" ht="14.25" thickTop="1" thickBot="1" x14ac:dyDescent="0.25">
      <c r="A71" s="1417" t="s">
        <v>777</v>
      </c>
      <c r="B71" s="473">
        <v>8820</v>
      </c>
      <c r="C71" s="1874"/>
      <c r="D71" s="1874"/>
      <c r="E71" s="469"/>
      <c r="F71" s="469"/>
      <c r="G71" s="469"/>
      <c r="H71" s="469"/>
      <c r="I71" s="469"/>
      <c r="J71" s="469"/>
      <c r="K71" s="469"/>
      <c r="L71" s="496"/>
    </row>
    <row r="72" spans="1:12" s="475" customFormat="1" ht="14.25" thickTop="1" thickBot="1" x14ac:dyDescent="0.25">
      <c r="A72" s="1417" t="s">
        <v>774</v>
      </c>
      <c r="B72" s="473">
        <v>8830</v>
      </c>
      <c r="C72" s="1874"/>
      <c r="D72" s="1874"/>
      <c r="E72" s="469"/>
      <c r="F72" s="469"/>
      <c r="G72" s="469"/>
      <c r="H72" s="469"/>
      <c r="I72" s="469"/>
      <c r="J72" s="469"/>
      <c r="K72" s="469"/>
      <c r="L72" s="496"/>
    </row>
    <row r="73" spans="1:12" s="475" customFormat="1" ht="14.25" thickTop="1" thickBot="1" x14ac:dyDescent="0.25">
      <c r="A73" s="1417" t="s">
        <v>775</v>
      </c>
      <c r="B73" s="473">
        <v>8840</v>
      </c>
      <c r="C73" s="1875">
        <v>0</v>
      </c>
      <c r="D73" s="1875">
        <v>0</v>
      </c>
      <c r="E73" s="469"/>
      <c r="F73" s="469"/>
      <c r="G73" s="469"/>
      <c r="H73" s="469"/>
      <c r="I73" s="469"/>
      <c r="J73" s="469"/>
      <c r="K73" s="1842"/>
      <c r="L73" s="496"/>
    </row>
    <row r="74" spans="1:12" s="475" customFormat="1" ht="14.25" thickTop="1" thickBot="1" x14ac:dyDescent="0.25">
      <c r="A74" s="1417" t="s">
        <v>392</v>
      </c>
      <c r="B74" s="473">
        <v>8910</v>
      </c>
      <c r="C74" s="1875">
        <v>0</v>
      </c>
      <c r="D74" s="1875">
        <v>0</v>
      </c>
      <c r="E74" s="1842"/>
      <c r="F74" s="1876">
        <v>0</v>
      </c>
      <c r="G74" s="1876">
        <v>0</v>
      </c>
      <c r="H74" s="1876">
        <v>0</v>
      </c>
      <c r="I74" s="1842"/>
      <c r="J74" s="1842"/>
      <c r="K74" s="1876">
        <v>0</v>
      </c>
      <c r="L74" s="496"/>
    </row>
    <row r="75" spans="1:12" s="475" customFormat="1" ht="14.25" thickTop="1" thickBot="1" x14ac:dyDescent="0.25">
      <c r="A75" s="1420" t="s">
        <v>458</v>
      </c>
      <c r="B75" s="473">
        <v>8990</v>
      </c>
      <c r="C75" s="1875">
        <v>0</v>
      </c>
      <c r="D75" s="1875">
        <v>0</v>
      </c>
      <c r="E75" s="1876">
        <v>0</v>
      </c>
      <c r="F75" s="1877">
        <v>0</v>
      </c>
      <c r="G75" s="1877">
        <v>0</v>
      </c>
      <c r="H75" s="1877">
        <v>0</v>
      </c>
      <c r="I75" s="1876">
        <v>0</v>
      </c>
      <c r="J75" s="1876">
        <v>0</v>
      </c>
      <c r="K75" s="1877">
        <v>0</v>
      </c>
      <c r="L75" s="496"/>
    </row>
    <row r="76" spans="1:12" s="475" customFormat="1" ht="14.25" thickTop="1" thickBot="1" x14ac:dyDescent="0.25">
      <c r="A76" s="2186" t="s">
        <v>459</v>
      </c>
      <c r="B76" s="2187"/>
      <c r="C76" s="1871">
        <f t="shared" ref="C76:K76" si="8">SUM(C47:C75)</f>
        <v>745648</v>
      </c>
      <c r="D76" s="1871">
        <f t="shared" si="8"/>
        <v>27863</v>
      </c>
      <c r="E76" s="1871">
        <f t="shared" si="8"/>
        <v>0</v>
      </c>
      <c r="F76" s="1871">
        <f t="shared" si="8"/>
        <v>0</v>
      </c>
      <c r="G76" s="1871">
        <f t="shared" si="8"/>
        <v>0</v>
      </c>
      <c r="H76" s="1871">
        <f t="shared" si="8"/>
        <v>0</v>
      </c>
      <c r="I76" s="1871">
        <f t="shared" si="8"/>
        <v>64179</v>
      </c>
      <c r="J76" s="1871">
        <f t="shared" si="8"/>
        <v>0</v>
      </c>
      <c r="K76" s="1871">
        <f t="shared" si="8"/>
        <v>0</v>
      </c>
      <c r="L76" s="496"/>
    </row>
    <row r="77" spans="1:12" ht="14.25" thickTop="1" thickBot="1" x14ac:dyDescent="0.25">
      <c r="A77" s="2188" t="s">
        <v>1238</v>
      </c>
      <c r="B77" s="2189"/>
      <c r="C77" s="1878">
        <f t="shared" ref="C77:K77" si="9">C44-C76</f>
        <v>139639</v>
      </c>
      <c r="D77" s="1878">
        <f t="shared" si="9"/>
        <v>2692137</v>
      </c>
      <c r="E77" s="1878">
        <f t="shared" si="9"/>
        <v>773511</v>
      </c>
      <c r="F77" s="1878">
        <f t="shared" si="9"/>
        <v>397885</v>
      </c>
      <c r="G77" s="1878">
        <f t="shared" si="9"/>
        <v>0</v>
      </c>
      <c r="H77" s="1878">
        <f t="shared" si="9"/>
        <v>125099499</v>
      </c>
      <c r="I77" s="1878">
        <f t="shared" si="9"/>
        <v>-64179</v>
      </c>
      <c r="J77" s="1878">
        <f t="shared" si="9"/>
        <v>0</v>
      </c>
      <c r="K77" s="1878">
        <f t="shared" si="9"/>
        <v>0</v>
      </c>
      <c r="L77" s="343"/>
    </row>
    <row r="78" spans="1:12" ht="21.75" customHeight="1" thickTop="1" thickBot="1" x14ac:dyDescent="0.25">
      <c r="A78" s="2192" t="s">
        <v>617</v>
      </c>
      <c r="B78" s="2193"/>
      <c r="C78" s="1879">
        <f t="shared" ref="C78:K78" si="10">C20+C77</f>
        <v>1706006</v>
      </c>
      <c r="D78" s="1879">
        <f t="shared" si="10"/>
        <v>-1026098</v>
      </c>
      <c r="E78" s="1879">
        <f t="shared" si="10"/>
        <v>8711844</v>
      </c>
      <c r="F78" s="1879">
        <f t="shared" si="10"/>
        <v>852651</v>
      </c>
      <c r="G78" s="1879">
        <f t="shared" si="10"/>
        <v>-516395</v>
      </c>
      <c r="H78" s="1879">
        <f t="shared" si="10"/>
        <v>118640567</v>
      </c>
      <c r="I78" s="1879">
        <f t="shared" si="10"/>
        <v>70981</v>
      </c>
      <c r="J78" s="1879">
        <f t="shared" si="10"/>
        <v>-625816</v>
      </c>
      <c r="K78" s="1879">
        <f t="shared" si="10"/>
        <v>92057</v>
      </c>
      <c r="L78" s="500"/>
    </row>
    <row r="79" spans="1:12" ht="13.5" thickTop="1" x14ac:dyDescent="0.2">
      <c r="A79" s="1421" t="s">
        <v>2069</v>
      </c>
      <c r="B79" s="501"/>
      <c r="C79" s="1833">
        <v>52503044</v>
      </c>
      <c r="D79" s="1880">
        <v>4790367</v>
      </c>
      <c r="E79" s="1880">
        <v>1811098</v>
      </c>
      <c r="F79" s="1880">
        <v>-99133</v>
      </c>
      <c r="G79" s="1880">
        <v>1517960</v>
      </c>
      <c r="H79" s="1880">
        <v>2312726</v>
      </c>
      <c r="I79" s="1880">
        <v>12597674</v>
      </c>
      <c r="J79" s="1880">
        <v>3804570</v>
      </c>
      <c r="K79" s="1880">
        <v>191905</v>
      </c>
      <c r="L79" s="343"/>
    </row>
    <row r="80" spans="1:12" x14ac:dyDescent="0.2">
      <c r="A80" s="2198" t="s">
        <v>1894</v>
      </c>
      <c r="B80" s="2199"/>
      <c r="C80" s="462"/>
      <c r="D80" s="462"/>
      <c r="E80" s="462"/>
      <c r="F80" s="462"/>
      <c r="G80" s="462"/>
      <c r="H80" s="462"/>
      <c r="I80" s="462"/>
      <c r="J80" s="462"/>
      <c r="K80" s="462"/>
      <c r="L80" s="343"/>
    </row>
    <row r="81" spans="1:12" ht="13.5" thickBot="1" x14ac:dyDescent="0.25">
      <c r="A81" s="2190" t="s">
        <v>2070</v>
      </c>
      <c r="B81" s="2191"/>
      <c r="C81" s="1851">
        <f>(SUM(C78:C80))</f>
        <v>54209050</v>
      </c>
      <c r="D81" s="1851">
        <f>SUM(D78:D80)</f>
        <v>3764269</v>
      </c>
      <c r="E81" s="1851">
        <f t="shared" ref="E81:K81" si="11">SUM(E78:E80)</f>
        <v>10522942</v>
      </c>
      <c r="F81" s="1851">
        <f t="shared" si="11"/>
        <v>753518</v>
      </c>
      <c r="G81" s="1851">
        <f t="shared" si="11"/>
        <v>1001565</v>
      </c>
      <c r="H81" s="1851">
        <f t="shared" si="11"/>
        <v>120953293</v>
      </c>
      <c r="I81" s="1851">
        <f t="shared" si="11"/>
        <v>12668655</v>
      </c>
      <c r="J81" s="1851">
        <f t="shared" si="11"/>
        <v>3178754</v>
      </c>
      <c r="K81" s="1851">
        <f t="shared" si="11"/>
        <v>283962</v>
      </c>
      <c r="L81" s="343"/>
    </row>
    <row r="82" spans="1:12" ht="0.75" customHeight="1" thickTop="1" thickBot="1" x14ac:dyDescent="0.25">
      <c r="A82" s="502" t="s">
        <v>360</v>
      </c>
      <c r="B82" s="503"/>
      <c r="C82" s="504">
        <f>(C81-C79)</f>
        <v>1706006</v>
      </c>
      <c r="D82" s="504">
        <f t="shared" ref="D82:K82" si="12">(D81-D79)</f>
        <v>-1026098</v>
      </c>
      <c r="E82" s="504">
        <f t="shared" si="12"/>
        <v>8711844</v>
      </c>
      <c r="F82" s="504">
        <f t="shared" si="12"/>
        <v>852651</v>
      </c>
      <c r="G82" s="504">
        <f t="shared" si="12"/>
        <v>-516395</v>
      </c>
      <c r="H82" s="504">
        <f t="shared" si="12"/>
        <v>118640567</v>
      </c>
      <c r="I82" s="504">
        <f t="shared" si="12"/>
        <v>70981</v>
      </c>
      <c r="J82" s="504">
        <f t="shared" si="12"/>
        <v>-625816</v>
      </c>
      <c r="K82" s="504">
        <f t="shared" si="12"/>
        <v>92057</v>
      </c>
    </row>
    <row r="83" spans="1:12" ht="14.25" hidden="1" thickTop="1" thickBot="1" x14ac:dyDescent="0.25">
      <c r="A83" s="505" t="s">
        <v>361</v>
      </c>
      <c r="B83" s="460"/>
      <c r="C83" s="506">
        <f>C82/C81</f>
        <v>3.1470870638758655E-2</v>
      </c>
      <c r="D83" s="506">
        <f t="shared" ref="D83:K83" si="13">D82/D81</f>
        <v>-0.27258891434166899</v>
      </c>
      <c r="E83" s="506">
        <f t="shared" si="13"/>
        <v>0.8278905271928706</v>
      </c>
      <c r="F83" s="506">
        <f t="shared" si="13"/>
        <v>1.1315602281564607</v>
      </c>
      <c r="G83" s="506">
        <f t="shared" si="13"/>
        <v>-0.51558810461627558</v>
      </c>
      <c r="H83" s="506">
        <f t="shared" si="13"/>
        <v>0.98087918118938688</v>
      </c>
      <c r="I83" s="506">
        <f t="shared" si="13"/>
        <v>5.6028836526055845E-3</v>
      </c>
      <c r="J83" s="506">
        <f t="shared" si="13"/>
        <v>-0.19687462445977261</v>
      </c>
      <c r="K83" s="506">
        <f t="shared" si="13"/>
        <v>0.32418774343045903</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tabColor rgb="FFFF0000"/>
  </sheetPr>
  <dimension ref="A1:L286"/>
  <sheetViews>
    <sheetView showGridLines="0" defaultGridColor="0" colorId="8" zoomScale="83" zoomScaleNormal="83" zoomScaleSheetLayoutView="75" workbookViewId="0">
      <pane ySplit="2" topLeftCell="A237" activePane="bottomLeft" state="frozen"/>
      <selection activeCell="H32" sqref="H32"/>
      <selection pane="bottomLeft" activeCell="E247" sqref="E247"/>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94" t="s">
        <v>1901</v>
      </c>
      <c r="B1" s="448"/>
      <c r="C1" s="449" t="s">
        <v>444</v>
      </c>
      <c r="D1" s="449" t="s">
        <v>445</v>
      </c>
      <c r="E1" s="449" t="s">
        <v>446</v>
      </c>
      <c r="F1" s="449" t="s">
        <v>447</v>
      </c>
      <c r="G1" s="449" t="s">
        <v>448</v>
      </c>
      <c r="H1" s="449" t="s">
        <v>449</v>
      </c>
      <c r="I1" s="449" t="s">
        <v>450</v>
      </c>
      <c r="J1" s="449" t="s">
        <v>451</v>
      </c>
      <c r="K1" s="449" t="s">
        <v>779</v>
      </c>
    </row>
    <row r="2" spans="1:12" ht="36" x14ac:dyDescent="0.2">
      <c r="A2" s="2195"/>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97" t="s">
        <v>115</v>
      </c>
      <c r="B3" s="1498"/>
      <c r="C3" s="1499"/>
      <c r="D3" s="1499"/>
      <c r="E3" s="1499"/>
      <c r="F3" s="1500"/>
      <c r="G3" s="1501"/>
      <c r="H3" s="1500"/>
      <c r="I3" s="1500"/>
      <c r="J3" s="1500"/>
      <c r="K3" s="1502"/>
    </row>
    <row r="4" spans="1:12" ht="15.75" customHeight="1" x14ac:dyDescent="0.2">
      <c r="A4" s="1508" t="s">
        <v>396</v>
      </c>
      <c r="B4" s="1509">
        <v>1100</v>
      </c>
      <c r="C4" s="509"/>
      <c r="D4" s="509"/>
      <c r="E4" s="509"/>
      <c r="F4" s="510"/>
      <c r="G4" s="511"/>
      <c r="H4" s="512"/>
      <c r="I4" s="512"/>
      <c r="J4" s="512"/>
      <c r="K4" s="512"/>
    </row>
    <row r="5" spans="1:12" ht="15" x14ac:dyDescent="0.2">
      <c r="A5" s="479" t="s">
        <v>1759</v>
      </c>
      <c r="B5" s="513"/>
      <c r="C5" s="1833">
        <v>71216631</v>
      </c>
      <c r="D5" s="1833">
        <v>9748918</v>
      </c>
      <c r="E5" s="461">
        <v>9680064</v>
      </c>
      <c r="F5" s="1881">
        <v>3973143</v>
      </c>
      <c r="G5" s="461">
        <v>3191342</v>
      </c>
      <c r="H5" s="461">
        <v>0</v>
      </c>
      <c r="I5" s="461">
        <v>34296</v>
      </c>
      <c r="J5" s="461">
        <v>490732</v>
      </c>
      <c r="K5" s="461">
        <v>99173</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1612258</v>
      </c>
      <c r="D7" s="461">
        <v>0</v>
      </c>
      <c r="E7" s="463"/>
      <c r="F7" s="461">
        <v>0</v>
      </c>
      <c r="G7" s="461">
        <v>0</v>
      </c>
      <c r="H7" s="461">
        <v>0</v>
      </c>
      <c r="I7" s="463"/>
      <c r="J7" s="463"/>
      <c r="K7" s="463"/>
    </row>
    <row r="8" spans="1:12" x14ac:dyDescent="0.2">
      <c r="A8" s="459" t="s">
        <v>432</v>
      </c>
      <c r="B8" s="465">
        <v>1150</v>
      </c>
      <c r="C8" s="468"/>
      <c r="D8" s="468"/>
      <c r="E8" s="469"/>
      <c r="F8" s="469"/>
      <c r="G8" s="1833">
        <v>695250</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70"/>
      <c r="E10" s="1870"/>
      <c r="F10" s="464"/>
      <c r="G10" s="463"/>
      <c r="H10" s="463"/>
      <c r="I10" s="463"/>
      <c r="J10" s="463"/>
      <c r="K10" s="463"/>
    </row>
    <row r="11" spans="1:12" x14ac:dyDescent="0.2">
      <c r="A11" s="467" t="s">
        <v>433</v>
      </c>
      <c r="B11" s="515">
        <v>1190</v>
      </c>
      <c r="C11" s="1882">
        <v>0</v>
      </c>
      <c r="D11" s="461">
        <v>0</v>
      </c>
      <c r="E11" s="461">
        <v>0</v>
      </c>
      <c r="F11" s="461">
        <v>0</v>
      </c>
      <c r="G11" s="461">
        <v>0</v>
      </c>
      <c r="H11" s="461">
        <v>0</v>
      </c>
      <c r="I11" s="461">
        <v>0</v>
      </c>
      <c r="J11" s="461">
        <v>0</v>
      </c>
      <c r="K11" s="461">
        <v>0</v>
      </c>
      <c r="L11" s="516"/>
    </row>
    <row r="12" spans="1:12" ht="12.75" customHeight="1" thickBot="1" x14ac:dyDescent="0.25">
      <c r="A12" s="1608" t="s">
        <v>29</v>
      </c>
      <c r="B12" s="1609"/>
      <c r="C12" s="1883">
        <f t="shared" ref="C12:K12" si="0">SUM(C5:C11)</f>
        <v>72828889</v>
      </c>
      <c r="D12" s="1883">
        <f t="shared" si="0"/>
        <v>9748918</v>
      </c>
      <c r="E12" s="1883">
        <f t="shared" si="0"/>
        <v>9680064</v>
      </c>
      <c r="F12" s="1883">
        <f t="shared" si="0"/>
        <v>3973143</v>
      </c>
      <c r="G12" s="1883">
        <f t="shared" si="0"/>
        <v>3886592</v>
      </c>
      <c r="H12" s="1883">
        <f t="shared" si="0"/>
        <v>0</v>
      </c>
      <c r="I12" s="1883">
        <f t="shared" si="0"/>
        <v>34296</v>
      </c>
      <c r="J12" s="1883">
        <f t="shared" si="0"/>
        <v>490732</v>
      </c>
      <c r="K12" s="1851">
        <f t="shared" si="0"/>
        <v>99173</v>
      </c>
    </row>
    <row r="13" spans="1:12" ht="15.75" customHeight="1" thickTop="1" x14ac:dyDescent="0.2">
      <c r="A13" s="1510" t="s">
        <v>470</v>
      </c>
      <c r="B13" s="1511">
        <v>1200</v>
      </c>
      <c r="C13" s="1884"/>
      <c r="D13" s="1884"/>
      <c r="E13" s="1884"/>
      <c r="F13" s="1884"/>
      <c r="G13" s="1884"/>
      <c r="H13" s="1884"/>
      <c r="I13" s="1884"/>
      <c r="J13" s="1884"/>
      <c r="K13" s="463"/>
    </row>
    <row r="14" spans="1:12" x14ac:dyDescent="0.2">
      <c r="A14" s="459" t="s">
        <v>3</v>
      </c>
      <c r="B14" s="465">
        <v>1210</v>
      </c>
      <c r="C14" s="1882">
        <v>15609</v>
      </c>
      <c r="D14" s="461">
        <v>2076</v>
      </c>
      <c r="E14" s="461">
        <v>226</v>
      </c>
      <c r="F14" s="461">
        <v>637</v>
      </c>
      <c r="G14" s="461">
        <v>736</v>
      </c>
      <c r="H14" s="461">
        <v>0</v>
      </c>
      <c r="I14" s="461">
        <v>31</v>
      </c>
      <c r="J14" s="461">
        <v>207</v>
      </c>
      <c r="K14" s="461">
        <v>8</v>
      </c>
    </row>
    <row r="15" spans="1:12" ht="12.75" customHeight="1" x14ac:dyDescent="0.2">
      <c r="A15" s="459" t="s">
        <v>97</v>
      </c>
      <c r="B15" s="465">
        <v>1220</v>
      </c>
      <c r="C15" s="1882">
        <v>12130</v>
      </c>
      <c r="D15" s="461">
        <v>1589</v>
      </c>
      <c r="E15" s="461">
        <v>172</v>
      </c>
      <c r="F15" s="461">
        <v>487</v>
      </c>
      <c r="G15" s="461">
        <v>563</v>
      </c>
      <c r="H15" s="461">
        <v>0</v>
      </c>
      <c r="I15" s="461">
        <v>0</v>
      </c>
      <c r="J15" s="461">
        <v>0</v>
      </c>
      <c r="K15" s="461">
        <v>6</v>
      </c>
    </row>
    <row r="16" spans="1:12" ht="15" customHeight="1" x14ac:dyDescent="0.2">
      <c r="A16" s="459" t="s">
        <v>1761</v>
      </c>
      <c r="B16" s="514">
        <v>1230</v>
      </c>
      <c r="C16" s="1882">
        <v>2405516</v>
      </c>
      <c r="D16" s="461">
        <v>0</v>
      </c>
      <c r="E16" s="461">
        <v>0</v>
      </c>
      <c r="F16" s="461">
        <v>0</v>
      </c>
      <c r="G16" s="461">
        <v>189452</v>
      </c>
      <c r="H16" s="461">
        <v>0</v>
      </c>
      <c r="I16" s="461">
        <v>0</v>
      </c>
      <c r="J16" s="461">
        <v>0</v>
      </c>
      <c r="K16" s="461">
        <v>0</v>
      </c>
    </row>
    <row r="17" spans="1:11" ht="12.75" customHeight="1" x14ac:dyDescent="0.2">
      <c r="A17" s="459" t="s">
        <v>839</v>
      </c>
      <c r="B17" s="465">
        <v>1290</v>
      </c>
      <c r="C17" s="1882">
        <v>20059</v>
      </c>
      <c r="D17" s="461">
        <v>2685</v>
      </c>
      <c r="E17" s="461">
        <v>290</v>
      </c>
      <c r="F17" s="461">
        <v>824</v>
      </c>
      <c r="G17" s="461">
        <v>953</v>
      </c>
      <c r="H17" s="461">
        <v>0</v>
      </c>
      <c r="I17" s="461">
        <v>16</v>
      </c>
      <c r="J17" s="461">
        <v>426</v>
      </c>
      <c r="K17" s="461">
        <v>10</v>
      </c>
    </row>
    <row r="18" spans="1:11" ht="12.75" customHeight="1" thickBot="1" x14ac:dyDescent="0.25">
      <c r="A18" s="1610" t="s">
        <v>557</v>
      </c>
      <c r="B18" s="1611"/>
      <c r="C18" s="1885">
        <f>SUM(C14:C17)</f>
        <v>2453314</v>
      </c>
      <c r="D18" s="1885">
        <f t="shared" ref="D18:K18" si="1">SUM(D14:D17)</f>
        <v>6350</v>
      </c>
      <c r="E18" s="1885">
        <f t="shared" si="1"/>
        <v>688</v>
      </c>
      <c r="F18" s="1885">
        <f t="shared" si="1"/>
        <v>1948</v>
      </c>
      <c r="G18" s="1885">
        <f t="shared" si="1"/>
        <v>191704</v>
      </c>
      <c r="H18" s="1885">
        <f t="shared" si="1"/>
        <v>0</v>
      </c>
      <c r="I18" s="1885">
        <f t="shared" si="1"/>
        <v>47</v>
      </c>
      <c r="J18" s="1885">
        <f t="shared" si="1"/>
        <v>633</v>
      </c>
      <c r="K18" s="1886">
        <f t="shared" si="1"/>
        <v>24</v>
      </c>
    </row>
    <row r="19" spans="1:11" ht="15.75" customHeight="1" thickTop="1" x14ac:dyDescent="0.2">
      <c r="A19" s="1510" t="s">
        <v>471</v>
      </c>
      <c r="B19" s="1511">
        <v>1300</v>
      </c>
      <c r="C19" s="1887"/>
      <c r="D19" s="1887"/>
      <c r="E19" s="1887"/>
      <c r="F19" s="1887"/>
      <c r="G19" s="1884"/>
      <c r="H19" s="1887"/>
      <c r="I19" s="1887"/>
      <c r="J19" s="1887"/>
      <c r="K19" s="1888"/>
    </row>
    <row r="20" spans="1:11" x14ac:dyDescent="0.2">
      <c r="A20" s="459" t="s">
        <v>1132</v>
      </c>
      <c r="B20" s="465">
        <v>1311</v>
      </c>
      <c r="C20" s="461">
        <v>124</v>
      </c>
      <c r="D20" s="463"/>
      <c r="E20" s="463"/>
      <c r="F20" s="463"/>
      <c r="G20" s="463"/>
      <c r="H20" s="463"/>
      <c r="I20" s="463"/>
      <c r="J20" s="463"/>
      <c r="K20" s="463"/>
    </row>
    <row r="21" spans="1:11" ht="12.75" customHeight="1" x14ac:dyDescent="0.2">
      <c r="A21" s="459" t="s">
        <v>886</v>
      </c>
      <c r="B21" s="465">
        <v>1312</v>
      </c>
      <c r="C21" s="1882">
        <v>0</v>
      </c>
      <c r="D21" s="463"/>
      <c r="E21" s="463"/>
      <c r="F21" s="463"/>
      <c r="G21" s="463"/>
      <c r="H21" s="463"/>
      <c r="I21" s="463"/>
      <c r="J21" s="463"/>
      <c r="K21" s="463"/>
    </row>
    <row r="22" spans="1:11" ht="12.75" customHeight="1" x14ac:dyDescent="0.2">
      <c r="A22" s="459" t="s">
        <v>1133</v>
      </c>
      <c r="B22" s="465">
        <v>1313</v>
      </c>
      <c r="C22" s="1882">
        <v>0</v>
      </c>
      <c r="D22" s="463"/>
      <c r="E22" s="463"/>
      <c r="F22" s="463"/>
      <c r="G22" s="463"/>
      <c r="H22" s="463"/>
      <c r="I22" s="463"/>
      <c r="J22" s="463"/>
      <c r="K22" s="463"/>
    </row>
    <row r="23" spans="1:11" ht="12.75" customHeight="1" x14ac:dyDescent="0.2">
      <c r="A23" s="459" t="s">
        <v>1134</v>
      </c>
      <c r="B23" s="465">
        <v>1314</v>
      </c>
      <c r="C23" s="1882">
        <v>0</v>
      </c>
      <c r="D23" s="463"/>
      <c r="E23" s="463"/>
      <c r="F23" s="463"/>
      <c r="G23" s="463"/>
      <c r="H23" s="463"/>
      <c r="I23" s="463"/>
      <c r="J23" s="463"/>
      <c r="K23" s="463"/>
    </row>
    <row r="24" spans="1:11" ht="12.75" customHeight="1" x14ac:dyDescent="0.2">
      <c r="A24" s="459" t="s">
        <v>1084</v>
      </c>
      <c r="B24" s="465">
        <v>1321</v>
      </c>
      <c r="C24" s="1882">
        <v>18400</v>
      </c>
      <c r="D24" s="463"/>
      <c r="E24" s="463"/>
      <c r="F24" s="463"/>
      <c r="G24" s="463"/>
      <c r="H24" s="463"/>
      <c r="I24" s="463"/>
      <c r="J24" s="463"/>
      <c r="K24" s="463"/>
    </row>
    <row r="25" spans="1:11" ht="12.75" customHeight="1" x14ac:dyDescent="0.2">
      <c r="A25" s="459" t="s">
        <v>887</v>
      </c>
      <c r="B25" s="465">
        <v>1322</v>
      </c>
      <c r="C25" s="1882">
        <v>0</v>
      </c>
      <c r="D25" s="463"/>
      <c r="E25" s="463"/>
      <c r="F25" s="463"/>
      <c r="G25" s="463"/>
      <c r="H25" s="463"/>
      <c r="I25" s="463"/>
      <c r="J25" s="463"/>
      <c r="K25" s="463"/>
    </row>
    <row r="26" spans="1:11" ht="12.75" customHeight="1" x14ac:dyDescent="0.2">
      <c r="A26" s="459" t="s">
        <v>1162</v>
      </c>
      <c r="B26" s="465">
        <v>1323</v>
      </c>
      <c r="C26" s="1882">
        <v>0</v>
      </c>
      <c r="D26" s="463"/>
      <c r="E26" s="463"/>
      <c r="F26" s="463"/>
      <c r="G26" s="463"/>
      <c r="H26" s="463"/>
      <c r="I26" s="463"/>
      <c r="J26" s="463"/>
      <c r="K26" s="463"/>
    </row>
    <row r="27" spans="1:11" ht="12.75" customHeight="1" x14ac:dyDescent="0.2">
      <c r="A27" s="459" t="s">
        <v>1080</v>
      </c>
      <c r="B27" s="465">
        <v>1324</v>
      </c>
      <c r="C27" s="1882">
        <v>0</v>
      </c>
      <c r="D27" s="463"/>
      <c r="E27" s="463"/>
      <c r="F27" s="463"/>
      <c r="G27" s="463"/>
      <c r="H27" s="463"/>
      <c r="I27" s="463"/>
      <c r="J27" s="463"/>
      <c r="K27" s="463"/>
    </row>
    <row r="28" spans="1:11" ht="12.75" customHeight="1" x14ac:dyDescent="0.2">
      <c r="A28" s="459" t="s">
        <v>1081</v>
      </c>
      <c r="B28" s="465">
        <v>1331</v>
      </c>
      <c r="C28" s="1882">
        <v>0</v>
      </c>
      <c r="D28" s="463"/>
      <c r="E28" s="463"/>
      <c r="F28" s="463"/>
      <c r="G28" s="463"/>
      <c r="H28" s="463"/>
      <c r="I28" s="463"/>
      <c r="J28" s="463"/>
      <c r="K28" s="463"/>
    </row>
    <row r="29" spans="1:11" ht="12.75" customHeight="1" x14ac:dyDescent="0.2">
      <c r="A29" s="459" t="s">
        <v>888</v>
      </c>
      <c r="B29" s="465">
        <v>1332</v>
      </c>
      <c r="C29" s="1882">
        <v>0</v>
      </c>
      <c r="D29" s="463"/>
      <c r="E29" s="463"/>
      <c r="F29" s="463"/>
      <c r="G29" s="463"/>
      <c r="H29" s="463"/>
      <c r="I29" s="463"/>
      <c r="J29" s="463"/>
      <c r="K29" s="463"/>
    </row>
    <row r="30" spans="1:11" ht="12.75" customHeight="1" x14ac:dyDescent="0.2">
      <c r="A30" s="459" t="s">
        <v>1083</v>
      </c>
      <c r="B30" s="465">
        <v>1333</v>
      </c>
      <c r="C30" s="1882">
        <v>0</v>
      </c>
      <c r="D30" s="463"/>
      <c r="E30" s="463"/>
      <c r="F30" s="463"/>
      <c r="G30" s="463"/>
      <c r="H30" s="463"/>
      <c r="I30" s="463"/>
      <c r="J30" s="463"/>
      <c r="K30" s="463"/>
    </row>
    <row r="31" spans="1:11" ht="12.75" customHeight="1" x14ac:dyDescent="0.2">
      <c r="A31" s="459" t="s">
        <v>1082</v>
      </c>
      <c r="B31" s="465">
        <v>1334</v>
      </c>
      <c r="C31" s="1882">
        <v>0</v>
      </c>
      <c r="D31" s="463"/>
      <c r="E31" s="463"/>
      <c r="F31" s="463"/>
      <c r="G31" s="463"/>
      <c r="H31" s="463"/>
      <c r="I31" s="463"/>
      <c r="J31" s="463"/>
      <c r="K31" s="463"/>
    </row>
    <row r="32" spans="1:11" ht="12.75" customHeight="1" x14ac:dyDescent="0.2">
      <c r="A32" s="459" t="s">
        <v>514</v>
      </c>
      <c r="B32" s="465">
        <v>1341</v>
      </c>
      <c r="C32" s="1882">
        <v>0</v>
      </c>
      <c r="D32" s="463"/>
      <c r="E32" s="463"/>
      <c r="F32" s="463"/>
      <c r="G32" s="463"/>
      <c r="H32" s="463"/>
      <c r="I32" s="463"/>
      <c r="J32" s="463"/>
      <c r="K32" s="463"/>
    </row>
    <row r="33" spans="1:11" ht="12.75" customHeight="1" x14ac:dyDescent="0.2">
      <c r="A33" s="459" t="s">
        <v>889</v>
      </c>
      <c r="B33" s="465">
        <v>1342</v>
      </c>
      <c r="C33" s="1882">
        <v>0</v>
      </c>
      <c r="D33" s="463"/>
      <c r="E33" s="463"/>
      <c r="F33" s="463"/>
      <c r="G33" s="463"/>
      <c r="H33" s="463"/>
      <c r="I33" s="463"/>
      <c r="J33" s="463"/>
      <c r="K33" s="463"/>
    </row>
    <row r="34" spans="1:11" ht="12.75" customHeight="1" x14ac:dyDescent="0.2">
      <c r="A34" s="459" t="s">
        <v>515</v>
      </c>
      <c r="B34" s="465">
        <v>1343</v>
      </c>
      <c r="C34" s="1882">
        <v>0</v>
      </c>
      <c r="D34" s="463"/>
      <c r="E34" s="463"/>
      <c r="F34" s="463"/>
      <c r="G34" s="463"/>
      <c r="H34" s="463"/>
      <c r="I34" s="463"/>
      <c r="J34" s="463"/>
      <c r="K34" s="463"/>
    </row>
    <row r="35" spans="1:11" ht="12.75" customHeight="1" x14ac:dyDescent="0.2">
      <c r="A35" s="459" t="s">
        <v>513</v>
      </c>
      <c r="B35" s="465">
        <v>1344</v>
      </c>
      <c r="C35" s="1882">
        <v>0</v>
      </c>
      <c r="D35" s="463"/>
      <c r="E35" s="463"/>
      <c r="F35" s="463"/>
      <c r="G35" s="463"/>
      <c r="H35" s="463"/>
      <c r="I35" s="463"/>
      <c r="J35" s="463"/>
      <c r="K35" s="463"/>
    </row>
    <row r="36" spans="1:11" ht="12.75" customHeight="1" x14ac:dyDescent="0.2">
      <c r="A36" s="459" t="s">
        <v>885</v>
      </c>
      <c r="B36" s="465">
        <v>1351</v>
      </c>
      <c r="C36" s="1882">
        <v>0</v>
      </c>
      <c r="D36" s="463"/>
      <c r="E36" s="463"/>
      <c r="F36" s="463"/>
      <c r="G36" s="463"/>
      <c r="H36" s="463"/>
      <c r="I36" s="463"/>
      <c r="J36" s="463"/>
      <c r="K36" s="463"/>
    </row>
    <row r="37" spans="1:11" ht="12.75" customHeight="1" x14ac:dyDescent="0.2">
      <c r="A37" s="459" t="s">
        <v>890</v>
      </c>
      <c r="B37" s="465">
        <v>1352</v>
      </c>
      <c r="C37" s="1882">
        <v>0</v>
      </c>
      <c r="D37" s="463"/>
      <c r="E37" s="463"/>
      <c r="F37" s="463"/>
      <c r="G37" s="463"/>
      <c r="H37" s="463"/>
      <c r="I37" s="463"/>
      <c r="J37" s="463"/>
      <c r="K37" s="463"/>
    </row>
    <row r="38" spans="1:11" ht="12.75" customHeight="1" x14ac:dyDescent="0.2">
      <c r="A38" s="459" t="s">
        <v>613</v>
      </c>
      <c r="B38" s="465">
        <v>1353</v>
      </c>
      <c r="C38" s="1882">
        <v>0</v>
      </c>
      <c r="D38" s="463"/>
      <c r="E38" s="463"/>
      <c r="F38" s="463"/>
      <c r="G38" s="463"/>
      <c r="H38" s="463"/>
      <c r="I38" s="463"/>
      <c r="J38" s="463"/>
      <c r="K38" s="463"/>
    </row>
    <row r="39" spans="1:11" ht="12.75" customHeight="1" x14ac:dyDescent="0.2">
      <c r="A39" s="1422" t="s">
        <v>614</v>
      </c>
      <c r="B39" s="517">
        <v>1354</v>
      </c>
      <c r="C39" s="1882">
        <v>0</v>
      </c>
      <c r="D39" s="463"/>
      <c r="E39" s="463"/>
      <c r="F39" s="463"/>
      <c r="G39" s="463"/>
      <c r="H39" s="463"/>
      <c r="I39" s="463"/>
      <c r="J39" s="463"/>
      <c r="K39" s="463"/>
    </row>
    <row r="40" spans="1:11" ht="12.75" customHeight="1" thickBot="1" x14ac:dyDescent="0.25">
      <c r="A40" s="1610" t="s">
        <v>558</v>
      </c>
      <c r="B40" s="1611"/>
      <c r="C40" s="1851">
        <f>SUM(C20:C39)</f>
        <v>18524</v>
      </c>
      <c r="D40" s="463"/>
      <c r="E40" s="463"/>
      <c r="F40" s="463"/>
      <c r="G40" s="463"/>
      <c r="H40" s="463"/>
      <c r="I40" s="463"/>
      <c r="J40" s="463"/>
      <c r="K40" s="463"/>
    </row>
    <row r="41" spans="1:11" ht="15.75" customHeight="1" thickTop="1" x14ac:dyDescent="0.2">
      <c r="A41" s="1510" t="s">
        <v>291</v>
      </c>
      <c r="B41" s="1511">
        <v>1400</v>
      </c>
      <c r="C41" s="463"/>
      <c r="D41" s="463"/>
      <c r="E41" s="463"/>
      <c r="F41" s="1863"/>
      <c r="G41" s="463"/>
      <c r="H41" s="463"/>
      <c r="I41" s="463"/>
      <c r="J41" s="463"/>
      <c r="K41" s="463"/>
    </row>
    <row r="42" spans="1:11" ht="12.75" customHeight="1" x14ac:dyDescent="0.2">
      <c r="A42" s="459" t="s">
        <v>1135</v>
      </c>
      <c r="B42" s="465">
        <v>1411</v>
      </c>
      <c r="C42" s="463"/>
      <c r="D42" s="463"/>
      <c r="E42" s="463"/>
      <c r="F42" s="1833">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719096</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23" t="s">
        <v>62</v>
      </c>
      <c r="B51" s="518">
        <v>1431</v>
      </c>
      <c r="C51" s="463"/>
      <c r="D51" s="463"/>
      <c r="E51" s="463"/>
      <c r="F51" s="461">
        <v>0</v>
      </c>
      <c r="G51" s="463"/>
      <c r="H51" s="463"/>
      <c r="I51" s="463"/>
      <c r="J51" s="463"/>
      <c r="K51" s="463"/>
    </row>
    <row r="52" spans="1:11" ht="12.75" customHeight="1" x14ac:dyDescent="0.2">
      <c r="A52" s="1423" t="s">
        <v>1167</v>
      </c>
      <c r="B52" s="518">
        <v>1432</v>
      </c>
      <c r="C52" s="463"/>
      <c r="D52" s="463"/>
      <c r="E52" s="463"/>
      <c r="F52" s="461">
        <v>0</v>
      </c>
      <c r="G52" s="463"/>
      <c r="H52" s="463"/>
      <c r="I52" s="463"/>
      <c r="J52" s="463"/>
      <c r="K52" s="463"/>
    </row>
    <row r="53" spans="1:11" ht="12.75" customHeight="1" x14ac:dyDescent="0.2">
      <c r="A53" s="1423" t="s">
        <v>63</v>
      </c>
      <c r="B53" s="518">
        <v>1433</v>
      </c>
      <c r="C53" s="463"/>
      <c r="D53" s="463"/>
      <c r="E53" s="463"/>
      <c r="F53" s="461">
        <v>0</v>
      </c>
      <c r="G53" s="463"/>
      <c r="H53" s="463"/>
      <c r="I53" s="463"/>
      <c r="J53" s="463"/>
      <c r="K53" s="463"/>
    </row>
    <row r="54" spans="1:11" ht="12.75" customHeight="1" x14ac:dyDescent="0.2">
      <c r="A54" s="1423" t="s">
        <v>64</v>
      </c>
      <c r="B54" s="518">
        <v>1434</v>
      </c>
      <c r="C54" s="463"/>
      <c r="D54" s="463"/>
      <c r="E54" s="463"/>
      <c r="F54" s="461">
        <v>0</v>
      </c>
      <c r="G54" s="463"/>
      <c r="H54" s="463"/>
      <c r="I54" s="463"/>
      <c r="J54" s="463"/>
      <c r="K54" s="463"/>
    </row>
    <row r="55" spans="1:11" ht="12.75" customHeight="1" x14ac:dyDescent="0.2">
      <c r="A55" s="1423" t="s">
        <v>65</v>
      </c>
      <c r="B55" s="518">
        <v>1441</v>
      </c>
      <c r="C55" s="463"/>
      <c r="D55" s="463"/>
      <c r="E55" s="463"/>
      <c r="F55" s="461">
        <v>0</v>
      </c>
      <c r="G55" s="463"/>
      <c r="H55" s="463"/>
      <c r="I55" s="463"/>
      <c r="J55" s="463"/>
      <c r="K55" s="463"/>
    </row>
    <row r="56" spans="1:11" ht="12.75" customHeight="1" x14ac:dyDescent="0.2">
      <c r="A56" s="1423" t="s">
        <v>1168</v>
      </c>
      <c r="B56" s="518">
        <v>1442</v>
      </c>
      <c r="C56" s="463"/>
      <c r="D56" s="463"/>
      <c r="E56" s="463"/>
      <c r="F56" s="461">
        <v>0</v>
      </c>
      <c r="G56" s="463"/>
      <c r="H56" s="463"/>
      <c r="I56" s="463"/>
      <c r="J56" s="463"/>
      <c r="K56" s="463"/>
    </row>
    <row r="57" spans="1:11" ht="12.75" customHeight="1" x14ac:dyDescent="0.2">
      <c r="A57" s="1423" t="s">
        <v>509</v>
      </c>
      <c r="B57" s="518">
        <v>1443</v>
      </c>
      <c r="C57" s="463"/>
      <c r="D57" s="463"/>
      <c r="E57" s="463"/>
      <c r="F57" s="461">
        <v>0</v>
      </c>
      <c r="G57" s="463"/>
      <c r="H57" s="463"/>
      <c r="I57" s="463"/>
      <c r="J57" s="463"/>
      <c r="K57" s="463"/>
    </row>
    <row r="58" spans="1:11" ht="12.75" customHeight="1" x14ac:dyDescent="0.2">
      <c r="A58" s="1423" t="s">
        <v>67</v>
      </c>
      <c r="B58" s="518">
        <v>1444</v>
      </c>
      <c r="C58" s="463"/>
      <c r="D58" s="463"/>
      <c r="E58" s="463"/>
      <c r="F58" s="461">
        <v>0</v>
      </c>
      <c r="G58" s="463"/>
      <c r="H58" s="463"/>
      <c r="I58" s="463"/>
      <c r="J58" s="463"/>
      <c r="K58" s="463"/>
    </row>
    <row r="59" spans="1:11" ht="12.75" customHeight="1" x14ac:dyDescent="0.2">
      <c r="A59" s="1423" t="s">
        <v>932</v>
      </c>
      <c r="B59" s="518">
        <v>1451</v>
      </c>
      <c r="C59" s="463"/>
      <c r="D59" s="463"/>
      <c r="E59" s="463"/>
      <c r="F59" s="461">
        <v>0</v>
      </c>
      <c r="G59" s="463"/>
      <c r="H59" s="463"/>
      <c r="I59" s="463"/>
      <c r="J59" s="463"/>
      <c r="K59" s="463"/>
    </row>
    <row r="60" spans="1:11" ht="12.75" customHeight="1" x14ac:dyDescent="0.2">
      <c r="A60" s="1423"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24" t="s">
        <v>934</v>
      </c>
      <c r="B62" s="519">
        <v>1454</v>
      </c>
      <c r="C62" s="463"/>
      <c r="D62" s="463"/>
      <c r="E62" s="463"/>
      <c r="F62" s="461">
        <v>0</v>
      </c>
      <c r="G62" s="463"/>
      <c r="H62" s="463"/>
      <c r="I62" s="463"/>
      <c r="J62" s="463"/>
      <c r="K62" s="463"/>
    </row>
    <row r="63" spans="1:11" ht="12.75" customHeight="1" thickBot="1" x14ac:dyDescent="0.25">
      <c r="A63" s="1610" t="s">
        <v>505</v>
      </c>
      <c r="B63" s="1611"/>
      <c r="C63" s="463"/>
      <c r="D63" s="463"/>
      <c r="E63" s="463"/>
      <c r="F63" s="1851">
        <f>SUM(F42:F62)</f>
        <v>719096</v>
      </c>
      <c r="G63" s="463"/>
      <c r="H63" s="463"/>
      <c r="I63" s="463"/>
      <c r="J63" s="463"/>
      <c r="K63" s="463"/>
    </row>
    <row r="64" spans="1:11" ht="15.75" customHeight="1" thickTop="1" x14ac:dyDescent="0.2">
      <c r="A64" s="1510" t="s">
        <v>473</v>
      </c>
      <c r="B64" s="1511">
        <v>1500</v>
      </c>
      <c r="C64" s="463"/>
      <c r="D64" s="463"/>
      <c r="E64" s="463"/>
      <c r="F64" s="463"/>
      <c r="G64" s="463"/>
      <c r="H64" s="463"/>
      <c r="I64" s="463"/>
      <c r="J64" s="463"/>
      <c r="K64" s="463"/>
    </row>
    <row r="65" spans="1:11" ht="12.75" customHeight="1" x14ac:dyDescent="0.2">
      <c r="A65" s="459" t="s">
        <v>567</v>
      </c>
      <c r="B65" s="465">
        <v>1510</v>
      </c>
      <c r="C65" s="461">
        <v>304733</v>
      </c>
      <c r="D65" s="461">
        <v>22139</v>
      </c>
      <c r="E65" s="461">
        <v>844</v>
      </c>
      <c r="F65" s="461">
        <v>323</v>
      </c>
      <c r="G65" s="461">
        <v>11956</v>
      </c>
      <c r="H65" s="461">
        <v>889853</v>
      </c>
      <c r="I65" s="461">
        <v>100817</v>
      </c>
      <c r="J65" s="461">
        <v>26860</v>
      </c>
      <c r="K65" s="461">
        <v>938</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610" t="s">
        <v>506</v>
      </c>
      <c r="B67" s="1611"/>
      <c r="C67" s="1851">
        <f>SUM(C65:C66)</f>
        <v>304733</v>
      </c>
      <c r="D67" s="1851">
        <f t="shared" ref="D67:K67" si="2">SUM(D65:D66)</f>
        <v>22139</v>
      </c>
      <c r="E67" s="1851">
        <f t="shared" si="2"/>
        <v>844</v>
      </c>
      <c r="F67" s="1851">
        <f t="shared" si="2"/>
        <v>323</v>
      </c>
      <c r="G67" s="1851">
        <f t="shared" si="2"/>
        <v>11956</v>
      </c>
      <c r="H67" s="1851">
        <f t="shared" si="2"/>
        <v>889853</v>
      </c>
      <c r="I67" s="1851">
        <f t="shared" si="2"/>
        <v>100817</v>
      </c>
      <c r="J67" s="1851">
        <f t="shared" si="2"/>
        <v>26860</v>
      </c>
      <c r="K67" s="1851">
        <f t="shared" si="2"/>
        <v>938</v>
      </c>
    </row>
    <row r="68" spans="1:11" ht="15.75" customHeight="1" thickTop="1" x14ac:dyDescent="0.2">
      <c r="A68" s="1510" t="s">
        <v>474</v>
      </c>
      <c r="B68" s="1512">
        <v>1600</v>
      </c>
      <c r="C68" s="1884"/>
      <c r="D68" s="463"/>
      <c r="E68" s="463"/>
      <c r="F68" s="463"/>
      <c r="G68" s="463"/>
      <c r="H68" s="463"/>
      <c r="I68" s="463"/>
      <c r="J68" s="463"/>
      <c r="K68" s="463"/>
    </row>
    <row r="69" spans="1:11" ht="12.75" customHeight="1" x14ac:dyDescent="0.2">
      <c r="A69" s="459" t="s">
        <v>686</v>
      </c>
      <c r="B69" s="465">
        <v>1611</v>
      </c>
      <c r="C69" s="461">
        <v>522674</v>
      </c>
      <c r="D69" s="463"/>
      <c r="E69" s="463"/>
      <c r="F69" s="463"/>
      <c r="G69" s="463"/>
      <c r="H69" s="463"/>
      <c r="I69" s="463"/>
      <c r="J69" s="463"/>
      <c r="K69" s="463"/>
    </row>
    <row r="70" spans="1:11" ht="12.75" customHeight="1" x14ac:dyDescent="0.2">
      <c r="A70" s="459" t="s">
        <v>1053</v>
      </c>
      <c r="B70" s="465">
        <v>1612</v>
      </c>
      <c r="C70" s="1882">
        <v>19474</v>
      </c>
      <c r="D70" s="463"/>
      <c r="E70" s="463"/>
      <c r="F70" s="463"/>
      <c r="G70" s="463"/>
      <c r="H70" s="463"/>
      <c r="I70" s="463"/>
      <c r="J70" s="463"/>
      <c r="K70" s="463"/>
    </row>
    <row r="71" spans="1:11" ht="12.75" customHeight="1" x14ac:dyDescent="0.2">
      <c r="A71" s="459" t="s">
        <v>290</v>
      </c>
      <c r="B71" s="465">
        <v>1613</v>
      </c>
      <c r="C71" s="1882">
        <v>183193</v>
      </c>
      <c r="D71" s="463"/>
      <c r="E71" s="463"/>
      <c r="F71" s="463"/>
      <c r="G71" s="463"/>
      <c r="H71" s="463"/>
      <c r="I71" s="463"/>
      <c r="J71" s="463"/>
      <c r="K71" s="463"/>
    </row>
    <row r="72" spans="1:11" ht="12.75" customHeight="1" x14ac:dyDescent="0.2">
      <c r="A72" s="459" t="s">
        <v>24</v>
      </c>
      <c r="B72" s="465">
        <v>1614</v>
      </c>
      <c r="C72" s="1882">
        <v>0</v>
      </c>
      <c r="D72" s="463"/>
      <c r="E72" s="463"/>
      <c r="F72" s="463"/>
      <c r="G72" s="463"/>
      <c r="H72" s="463"/>
      <c r="I72" s="463"/>
      <c r="J72" s="463"/>
      <c r="K72" s="463"/>
    </row>
    <row r="73" spans="1:11" ht="12.75" customHeight="1" x14ac:dyDescent="0.2">
      <c r="A73" s="459" t="s">
        <v>1054</v>
      </c>
      <c r="B73" s="465">
        <v>1620</v>
      </c>
      <c r="C73" s="1882">
        <v>15697</v>
      </c>
      <c r="D73" s="463"/>
      <c r="E73" s="463"/>
      <c r="F73" s="463"/>
      <c r="G73" s="463"/>
      <c r="H73" s="463"/>
      <c r="I73" s="463"/>
      <c r="J73" s="463"/>
      <c r="K73" s="463"/>
    </row>
    <row r="74" spans="1:11" ht="12.75" customHeight="1" x14ac:dyDescent="0.2">
      <c r="A74" s="459" t="s">
        <v>25</v>
      </c>
      <c r="B74" s="465">
        <v>1690</v>
      </c>
      <c r="C74" s="1882">
        <v>0</v>
      </c>
      <c r="D74" s="463"/>
      <c r="E74" s="463"/>
      <c r="F74" s="463"/>
      <c r="G74" s="463"/>
      <c r="H74" s="463"/>
      <c r="I74" s="463"/>
      <c r="J74" s="463"/>
      <c r="K74" s="463"/>
    </row>
    <row r="75" spans="1:11" ht="12.75" customHeight="1" thickBot="1" x14ac:dyDescent="0.25">
      <c r="A75" s="1610" t="s">
        <v>568</v>
      </c>
      <c r="B75" s="1611"/>
      <c r="C75" s="1851">
        <f>SUM(C69:C74)</f>
        <v>741038</v>
      </c>
      <c r="D75" s="463"/>
      <c r="E75" s="463"/>
      <c r="F75" s="463"/>
      <c r="G75" s="463"/>
      <c r="H75" s="463"/>
      <c r="I75" s="463"/>
      <c r="J75" s="463"/>
      <c r="K75" s="463"/>
    </row>
    <row r="76" spans="1:11" ht="15.75" customHeight="1" thickTop="1" x14ac:dyDescent="0.2">
      <c r="A76" s="1510" t="s">
        <v>935</v>
      </c>
      <c r="B76" s="1512">
        <v>1700</v>
      </c>
      <c r="C76" s="1884"/>
      <c r="D76" s="463"/>
      <c r="E76" s="463"/>
      <c r="F76" s="463"/>
      <c r="G76" s="463"/>
      <c r="H76" s="463"/>
      <c r="I76" s="463"/>
      <c r="J76" s="463"/>
      <c r="K76" s="463"/>
    </row>
    <row r="77" spans="1:11" ht="12.75" customHeight="1" x14ac:dyDescent="0.2">
      <c r="A77" s="459" t="s">
        <v>569</v>
      </c>
      <c r="B77" s="465">
        <v>1711</v>
      </c>
      <c r="C77" s="1859">
        <v>48124</v>
      </c>
      <c r="D77" s="461">
        <v>0</v>
      </c>
      <c r="E77" s="463"/>
      <c r="F77" s="463"/>
      <c r="G77" s="463"/>
      <c r="H77" s="463"/>
      <c r="I77" s="463"/>
      <c r="J77" s="463"/>
      <c r="K77" s="463"/>
    </row>
    <row r="78" spans="1:11" ht="12.75" customHeight="1" x14ac:dyDescent="0.2">
      <c r="A78" s="459" t="s">
        <v>78</v>
      </c>
      <c r="B78" s="465">
        <v>1719</v>
      </c>
      <c r="C78" s="1882">
        <v>0</v>
      </c>
      <c r="D78" s="461">
        <v>0</v>
      </c>
      <c r="E78" s="463"/>
      <c r="F78" s="463"/>
      <c r="G78" s="463"/>
      <c r="H78" s="463"/>
      <c r="I78" s="463"/>
      <c r="J78" s="463"/>
      <c r="K78" s="463"/>
    </row>
    <row r="79" spans="1:11" ht="12.75" customHeight="1" x14ac:dyDescent="0.2">
      <c r="A79" s="459" t="s">
        <v>570</v>
      </c>
      <c r="B79" s="465">
        <v>1720</v>
      </c>
      <c r="C79" s="1882">
        <v>0</v>
      </c>
      <c r="D79" s="461">
        <v>0</v>
      </c>
      <c r="E79" s="463"/>
      <c r="F79" s="463"/>
      <c r="G79" s="463"/>
      <c r="H79" s="463"/>
      <c r="I79" s="463"/>
      <c r="J79" s="463"/>
      <c r="K79" s="463"/>
    </row>
    <row r="80" spans="1:11" ht="12.75" customHeight="1" x14ac:dyDescent="0.2">
      <c r="A80" s="459" t="s">
        <v>571</v>
      </c>
      <c r="B80" s="465">
        <v>1730</v>
      </c>
      <c r="C80" s="1882">
        <v>0</v>
      </c>
      <c r="D80" s="461">
        <v>0</v>
      </c>
      <c r="E80" s="463"/>
      <c r="F80" s="463"/>
      <c r="G80" s="463"/>
      <c r="H80" s="463"/>
      <c r="I80" s="463"/>
      <c r="J80" s="463"/>
      <c r="K80" s="463"/>
    </row>
    <row r="81" spans="1:11" ht="12.75" customHeight="1" x14ac:dyDescent="0.2">
      <c r="A81" s="459" t="s">
        <v>26</v>
      </c>
      <c r="B81" s="465">
        <v>1790</v>
      </c>
      <c r="C81" s="1882">
        <v>756</v>
      </c>
      <c r="D81" s="461">
        <v>0</v>
      </c>
      <c r="E81" s="463"/>
      <c r="F81" s="463"/>
      <c r="G81" s="463"/>
      <c r="H81" s="463"/>
      <c r="I81" s="463"/>
      <c r="J81" s="463"/>
      <c r="K81" s="463"/>
    </row>
    <row r="82" spans="1:11" ht="12.75" customHeight="1" thickBot="1" x14ac:dyDescent="0.25">
      <c r="A82" s="1610" t="s">
        <v>259</v>
      </c>
      <c r="B82" s="1611"/>
      <c r="C82" s="1883">
        <f>SUM(C77:C81)</f>
        <v>48880</v>
      </c>
      <c r="D82" s="1851">
        <f>SUM(D77:D81)</f>
        <v>0</v>
      </c>
      <c r="E82" s="463"/>
      <c r="F82" s="463"/>
      <c r="G82" s="463"/>
      <c r="H82" s="463"/>
      <c r="I82" s="463"/>
      <c r="J82" s="463"/>
      <c r="K82" s="463"/>
    </row>
    <row r="83" spans="1:11" ht="15.75" customHeight="1" thickTop="1" x14ac:dyDescent="0.2">
      <c r="A83" s="1510" t="s">
        <v>260</v>
      </c>
      <c r="B83" s="1512">
        <v>1800</v>
      </c>
      <c r="C83" s="1884"/>
      <c r="D83" s="463"/>
      <c r="E83" s="463"/>
      <c r="F83" s="463"/>
      <c r="G83" s="463"/>
      <c r="H83" s="463"/>
      <c r="I83" s="463"/>
      <c r="J83" s="463"/>
      <c r="K83" s="463"/>
    </row>
    <row r="84" spans="1:11" ht="12.75" customHeight="1" x14ac:dyDescent="0.2">
      <c r="A84" s="459" t="s">
        <v>572</v>
      </c>
      <c r="B84" s="465">
        <v>1811</v>
      </c>
      <c r="C84" s="461">
        <v>341858</v>
      </c>
      <c r="D84" s="463"/>
      <c r="E84" s="463"/>
      <c r="F84" s="463"/>
      <c r="G84" s="463"/>
      <c r="H84" s="463"/>
      <c r="I84" s="463"/>
      <c r="J84" s="463"/>
      <c r="K84" s="463"/>
    </row>
    <row r="85" spans="1:11" ht="12.75" customHeight="1" x14ac:dyDescent="0.2">
      <c r="A85" s="459" t="s">
        <v>573</v>
      </c>
      <c r="B85" s="465">
        <v>1812</v>
      </c>
      <c r="C85" s="1882">
        <v>0</v>
      </c>
      <c r="D85" s="463"/>
      <c r="E85" s="463"/>
      <c r="F85" s="463"/>
      <c r="G85" s="463"/>
      <c r="H85" s="463"/>
      <c r="I85" s="463"/>
      <c r="J85" s="463"/>
      <c r="K85" s="463"/>
    </row>
    <row r="86" spans="1:11" ht="12.75" customHeight="1" x14ac:dyDescent="0.2">
      <c r="A86" s="459" t="s">
        <v>1055</v>
      </c>
      <c r="B86" s="465">
        <v>1813</v>
      </c>
      <c r="C86" s="1882">
        <v>0</v>
      </c>
      <c r="D86" s="463"/>
      <c r="E86" s="463"/>
      <c r="F86" s="463"/>
      <c r="G86" s="463"/>
      <c r="H86" s="463"/>
      <c r="I86" s="463"/>
      <c r="J86" s="463"/>
      <c r="K86" s="463"/>
    </row>
    <row r="87" spans="1:11" ht="12.75" customHeight="1" x14ac:dyDescent="0.2">
      <c r="A87" s="459" t="s">
        <v>79</v>
      </c>
      <c r="B87" s="465">
        <v>1819</v>
      </c>
      <c r="C87" s="1882">
        <v>0</v>
      </c>
      <c r="D87" s="463"/>
      <c r="E87" s="463"/>
      <c r="F87" s="463"/>
      <c r="G87" s="463"/>
      <c r="H87" s="463"/>
      <c r="I87" s="463"/>
      <c r="J87" s="463"/>
      <c r="K87" s="463"/>
    </row>
    <row r="88" spans="1:11" ht="12.75" customHeight="1" x14ac:dyDescent="0.2">
      <c r="A88" s="459" t="s">
        <v>574</v>
      </c>
      <c r="B88" s="465">
        <v>1821</v>
      </c>
      <c r="C88" s="1882">
        <v>0</v>
      </c>
      <c r="D88" s="463"/>
      <c r="E88" s="463"/>
      <c r="F88" s="463"/>
      <c r="G88" s="463"/>
      <c r="H88" s="463"/>
      <c r="I88" s="463"/>
      <c r="J88" s="463"/>
      <c r="K88" s="463"/>
    </row>
    <row r="89" spans="1:11" ht="12.75" customHeight="1" x14ac:dyDescent="0.2">
      <c r="A89" s="459" t="s">
        <v>737</v>
      </c>
      <c r="B89" s="465">
        <v>1822</v>
      </c>
      <c r="C89" s="1882">
        <v>0</v>
      </c>
      <c r="D89" s="463"/>
      <c r="E89" s="463"/>
      <c r="F89" s="463"/>
      <c r="G89" s="463"/>
      <c r="H89" s="463"/>
      <c r="I89" s="463"/>
      <c r="J89" s="463"/>
      <c r="K89" s="463"/>
    </row>
    <row r="90" spans="1:11" ht="12.75" customHeight="1" x14ac:dyDescent="0.2">
      <c r="A90" s="459" t="s">
        <v>141</v>
      </c>
      <c r="B90" s="465">
        <v>1823</v>
      </c>
      <c r="C90" s="1882">
        <v>0</v>
      </c>
      <c r="D90" s="463"/>
      <c r="E90" s="463"/>
      <c r="F90" s="463"/>
      <c r="G90" s="463"/>
      <c r="H90" s="463"/>
      <c r="I90" s="463"/>
      <c r="J90" s="463"/>
      <c r="K90" s="463"/>
    </row>
    <row r="91" spans="1:11" ht="12.75" customHeight="1" x14ac:dyDescent="0.2">
      <c r="A91" s="459" t="s">
        <v>27</v>
      </c>
      <c r="B91" s="465">
        <v>1829</v>
      </c>
      <c r="C91" s="1882">
        <v>0</v>
      </c>
      <c r="D91" s="463"/>
      <c r="E91" s="463"/>
      <c r="F91" s="463"/>
      <c r="G91" s="463"/>
      <c r="H91" s="463"/>
      <c r="I91" s="463"/>
      <c r="J91" s="463"/>
      <c r="K91" s="463"/>
    </row>
    <row r="92" spans="1:11" ht="12.75" customHeight="1" x14ac:dyDescent="0.2">
      <c r="A92" s="459" t="s">
        <v>785</v>
      </c>
      <c r="B92" s="465">
        <v>1890</v>
      </c>
      <c r="C92" s="1882">
        <v>0</v>
      </c>
      <c r="D92" s="463"/>
      <c r="E92" s="463"/>
      <c r="F92" s="463"/>
      <c r="G92" s="463"/>
      <c r="H92" s="463"/>
      <c r="I92" s="463"/>
      <c r="J92" s="463"/>
      <c r="K92" s="463"/>
    </row>
    <row r="93" spans="1:11" ht="12.75" customHeight="1" thickBot="1" x14ac:dyDescent="0.25">
      <c r="A93" s="1610" t="s">
        <v>261</v>
      </c>
      <c r="B93" s="1611"/>
      <c r="C93" s="1851">
        <f>SUM(C84:C92)</f>
        <v>341858</v>
      </c>
      <c r="D93" s="463"/>
      <c r="E93" s="463"/>
      <c r="F93" s="463"/>
      <c r="G93" s="463"/>
      <c r="H93" s="463"/>
      <c r="I93" s="463"/>
      <c r="J93" s="463"/>
      <c r="K93" s="463"/>
    </row>
    <row r="94" spans="1:11" ht="15.75" customHeight="1" thickTop="1" x14ac:dyDescent="0.2">
      <c r="A94" s="1510" t="s">
        <v>1198</v>
      </c>
      <c r="B94" s="1512">
        <v>1900</v>
      </c>
      <c r="C94" s="1884"/>
      <c r="D94" s="1863"/>
      <c r="E94" s="463"/>
      <c r="F94" s="463"/>
      <c r="G94" s="463"/>
      <c r="H94" s="463"/>
      <c r="I94" s="463"/>
      <c r="J94" s="463"/>
      <c r="K94" s="463"/>
    </row>
    <row r="95" spans="1:11" ht="12.75" customHeight="1" x14ac:dyDescent="0.2">
      <c r="A95" s="459" t="s">
        <v>1123</v>
      </c>
      <c r="B95" s="465">
        <v>1910</v>
      </c>
      <c r="C95" s="461">
        <v>0</v>
      </c>
      <c r="D95" s="1882">
        <v>112619</v>
      </c>
      <c r="E95" s="1863"/>
      <c r="F95" s="1863"/>
      <c r="G95" s="1863"/>
      <c r="H95" s="1863"/>
      <c r="I95" s="1863"/>
      <c r="J95" s="1863"/>
      <c r="K95" s="1863"/>
    </row>
    <row r="96" spans="1:11" ht="12.75" customHeight="1" x14ac:dyDescent="0.2">
      <c r="A96" s="459" t="s">
        <v>408</v>
      </c>
      <c r="B96" s="465">
        <v>1920</v>
      </c>
      <c r="C96" s="1882">
        <v>0</v>
      </c>
      <c r="D96" s="1882">
        <v>0</v>
      </c>
      <c r="E96" s="1839">
        <v>0</v>
      </c>
      <c r="F96" s="1833">
        <v>0</v>
      </c>
      <c r="G96" s="1833">
        <v>0</v>
      </c>
      <c r="H96" s="1833">
        <v>0</v>
      </c>
      <c r="I96" s="1833">
        <v>0</v>
      </c>
      <c r="J96" s="1833">
        <v>0</v>
      </c>
      <c r="K96" s="1833">
        <v>0</v>
      </c>
    </row>
    <row r="97" spans="1:12" ht="12.75" customHeight="1" x14ac:dyDescent="0.2">
      <c r="A97" s="1422" t="s">
        <v>262</v>
      </c>
      <c r="B97" s="520">
        <v>1930</v>
      </c>
      <c r="C97" s="1882">
        <v>0</v>
      </c>
      <c r="D97" s="461">
        <v>0</v>
      </c>
      <c r="E97" s="1828">
        <v>0</v>
      </c>
      <c r="F97" s="461">
        <v>0</v>
      </c>
      <c r="G97" s="461">
        <v>0</v>
      </c>
      <c r="H97" s="461">
        <v>0</v>
      </c>
      <c r="I97" s="461">
        <v>0</v>
      </c>
      <c r="J97" s="461">
        <v>0</v>
      </c>
      <c r="K97" s="461">
        <v>0</v>
      </c>
    </row>
    <row r="98" spans="1:12" ht="12.75" customHeight="1" x14ac:dyDescent="0.2">
      <c r="A98" s="459" t="s">
        <v>198</v>
      </c>
      <c r="B98" s="465">
        <v>1940</v>
      </c>
      <c r="C98" s="1882">
        <v>0</v>
      </c>
      <c r="D98" s="461">
        <v>0</v>
      </c>
      <c r="E98" s="1858"/>
      <c r="F98" s="461">
        <v>0</v>
      </c>
      <c r="G98" s="1858"/>
      <c r="H98" s="1858"/>
      <c r="I98" s="1856"/>
      <c r="J98" s="1858"/>
      <c r="K98" s="1858"/>
    </row>
    <row r="99" spans="1:12" ht="12.75" customHeight="1" x14ac:dyDescent="0.2">
      <c r="A99" s="459" t="s">
        <v>874</v>
      </c>
      <c r="B99" s="465">
        <v>1950</v>
      </c>
      <c r="C99" s="1882">
        <v>46082</v>
      </c>
      <c r="D99" s="461">
        <v>7859</v>
      </c>
      <c r="E99" s="461">
        <v>0</v>
      </c>
      <c r="F99" s="461">
        <v>5034</v>
      </c>
      <c r="G99" s="461">
        <v>0</v>
      </c>
      <c r="H99" s="461">
        <v>0</v>
      </c>
      <c r="I99" s="463"/>
      <c r="J99" s="461">
        <v>0</v>
      </c>
      <c r="K99" s="461">
        <v>9823</v>
      </c>
    </row>
    <row r="100" spans="1:12" ht="12.75" customHeight="1" x14ac:dyDescent="0.2">
      <c r="A100" s="459" t="s">
        <v>263</v>
      </c>
      <c r="B100" s="465">
        <v>1960</v>
      </c>
      <c r="C100" s="1882">
        <v>80558</v>
      </c>
      <c r="D100" s="1882">
        <v>0</v>
      </c>
      <c r="E100" s="1882">
        <v>0</v>
      </c>
      <c r="F100" s="1882">
        <v>0</v>
      </c>
      <c r="G100" s="1882">
        <v>0</v>
      </c>
      <c r="H100" s="1882">
        <v>0</v>
      </c>
      <c r="I100" s="462">
        <v>0</v>
      </c>
      <c r="J100" s="1838">
        <v>0</v>
      </c>
      <c r="K100" s="462">
        <v>0</v>
      </c>
    </row>
    <row r="101" spans="1:12" ht="12.75" customHeight="1" x14ac:dyDescent="0.2">
      <c r="A101" s="459" t="s">
        <v>264</v>
      </c>
      <c r="B101" s="465">
        <v>1970</v>
      </c>
      <c r="C101" s="1838">
        <v>33050</v>
      </c>
      <c r="D101" s="1870"/>
      <c r="E101" s="1842"/>
      <c r="F101" s="1870"/>
      <c r="G101" s="468"/>
      <c r="H101" s="1870"/>
      <c r="I101" s="463"/>
      <c r="J101" s="468"/>
      <c r="K101" s="468"/>
    </row>
    <row r="102" spans="1:12" ht="12.75" customHeight="1" x14ac:dyDescent="0.2">
      <c r="A102" s="459" t="s">
        <v>265</v>
      </c>
      <c r="B102" s="465">
        <v>1980</v>
      </c>
      <c r="C102" s="1838">
        <v>0</v>
      </c>
      <c r="D102" s="1838">
        <v>0</v>
      </c>
      <c r="E102" s="1838">
        <v>0</v>
      </c>
      <c r="F102" s="1838">
        <v>0</v>
      </c>
      <c r="G102" s="1838">
        <v>0</v>
      </c>
      <c r="H102" s="1838">
        <v>0</v>
      </c>
      <c r="I102" s="462">
        <v>0</v>
      </c>
      <c r="J102" s="1838">
        <v>0</v>
      </c>
      <c r="K102" s="462">
        <v>0</v>
      </c>
    </row>
    <row r="103" spans="1:12" ht="12.75" customHeight="1" x14ac:dyDescent="0.2">
      <c r="A103" s="459" t="s">
        <v>362</v>
      </c>
      <c r="B103" s="465">
        <v>1983</v>
      </c>
      <c r="C103" s="463"/>
      <c r="D103" s="463"/>
      <c r="E103" s="1889">
        <v>0</v>
      </c>
      <c r="F103" s="463"/>
      <c r="G103" s="463"/>
      <c r="H103" s="1838"/>
      <c r="I103" s="463"/>
      <c r="J103" s="1856"/>
      <c r="K103" s="1856"/>
    </row>
    <row r="104" spans="1:12" ht="12.75" customHeight="1" x14ac:dyDescent="0.2">
      <c r="A104" s="459" t="s">
        <v>884</v>
      </c>
      <c r="B104" s="465">
        <v>1991</v>
      </c>
      <c r="C104" s="1838">
        <v>0</v>
      </c>
      <c r="D104" s="461">
        <v>0</v>
      </c>
      <c r="E104" s="1833">
        <v>0</v>
      </c>
      <c r="F104" s="462">
        <v>0</v>
      </c>
      <c r="G104" s="462">
        <v>0</v>
      </c>
      <c r="H104" s="461">
        <v>0</v>
      </c>
      <c r="I104" s="463"/>
      <c r="J104" s="463"/>
      <c r="K104" s="463"/>
    </row>
    <row r="105" spans="1:12" ht="12.75" customHeight="1" x14ac:dyDescent="0.2">
      <c r="A105" s="459" t="s">
        <v>875</v>
      </c>
      <c r="B105" s="465">
        <v>1992</v>
      </c>
      <c r="C105" s="461">
        <v>0</v>
      </c>
      <c r="D105" s="1890"/>
      <c r="E105" s="463"/>
      <c r="F105" s="463"/>
      <c r="G105" s="463"/>
      <c r="H105" s="1856"/>
      <c r="I105" s="463"/>
      <c r="J105" s="463"/>
      <c r="K105" s="463"/>
    </row>
    <row r="106" spans="1:12" ht="12.75" customHeight="1" x14ac:dyDescent="0.2">
      <c r="A106" s="459" t="s">
        <v>1504</v>
      </c>
      <c r="B106" s="465">
        <v>1993</v>
      </c>
      <c r="C106" s="461">
        <v>0</v>
      </c>
      <c r="D106" s="1838">
        <v>0</v>
      </c>
      <c r="E106" s="462">
        <v>6274957</v>
      </c>
      <c r="F106" s="462">
        <v>0</v>
      </c>
      <c r="G106" s="462">
        <v>0</v>
      </c>
      <c r="H106" s="462">
        <v>1420926</v>
      </c>
      <c r="I106" s="1863"/>
      <c r="J106" s="462">
        <v>0</v>
      </c>
      <c r="K106" s="462">
        <v>0</v>
      </c>
    </row>
    <row r="107" spans="1:12" ht="12.75" customHeight="1" x14ac:dyDescent="0.2">
      <c r="A107" s="459" t="s">
        <v>80</v>
      </c>
      <c r="B107" s="465">
        <v>1999</v>
      </c>
      <c r="C107" s="1882">
        <v>1169115</v>
      </c>
      <c r="D107" s="461">
        <v>6262</v>
      </c>
      <c r="E107" s="461">
        <v>0</v>
      </c>
      <c r="F107" s="461">
        <v>2203</v>
      </c>
      <c r="G107" s="461">
        <v>0</v>
      </c>
      <c r="H107" s="461">
        <v>22048</v>
      </c>
      <c r="I107" s="461">
        <v>0</v>
      </c>
      <c r="J107" s="462">
        <v>1000</v>
      </c>
      <c r="K107" s="461">
        <v>0</v>
      </c>
    </row>
    <row r="108" spans="1:12" ht="12.75" customHeight="1" thickBot="1" x14ac:dyDescent="0.25">
      <c r="A108" s="1610" t="s">
        <v>507</v>
      </c>
      <c r="B108" s="1612"/>
      <c r="C108" s="1883">
        <f>SUM(C95:C107)</f>
        <v>1328805</v>
      </c>
      <c r="D108" s="1883">
        <f t="shared" ref="D108:K108" si="3">SUM(D95:D107)</f>
        <v>126740</v>
      </c>
      <c r="E108" s="1883">
        <f t="shared" si="3"/>
        <v>6274957</v>
      </c>
      <c r="F108" s="1883">
        <f t="shared" si="3"/>
        <v>7237</v>
      </c>
      <c r="G108" s="1883">
        <f t="shared" si="3"/>
        <v>0</v>
      </c>
      <c r="H108" s="1883">
        <f t="shared" si="3"/>
        <v>1442974</v>
      </c>
      <c r="I108" s="1883">
        <f t="shared" si="3"/>
        <v>0</v>
      </c>
      <c r="J108" s="1883">
        <f t="shared" si="3"/>
        <v>1000</v>
      </c>
      <c r="K108" s="1851">
        <f t="shared" si="3"/>
        <v>9823</v>
      </c>
    </row>
    <row r="109" spans="1:12" ht="14.25" thickTop="1" thickBot="1" x14ac:dyDescent="0.25">
      <c r="A109" s="1613" t="s">
        <v>266</v>
      </c>
      <c r="B109" s="1614" t="s">
        <v>590</v>
      </c>
      <c r="C109" s="1891">
        <f t="shared" ref="C109:K109" si="4">SUM(C12,C18,C40,C63,C67,C75,C82,C93,C108,)</f>
        <v>78066041</v>
      </c>
      <c r="D109" s="1891">
        <f t="shared" si="4"/>
        <v>9904147</v>
      </c>
      <c r="E109" s="1891">
        <f t="shared" si="4"/>
        <v>15956553</v>
      </c>
      <c r="F109" s="1891">
        <f t="shared" si="4"/>
        <v>4701747</v>
      </c>
      <c r="G109" s="1891">
        <f t="shared" si="4"/>
        <v>4090252</v>
      </c>
      <c r="H109" s="1891">
        <f t="shared" si="4"/>
        <v>2332827</v>
      </c>
      <c r="I109" s="1891">
        <f t="shared" si="4"/>
        <v>135160</v>
      </c>
      <c r="J109" s="1891">
        <f t="shared" si="4"/>
        <v>519225</v>
      </c>
      <c r="K109" s="1879">
        <f t="shared" si="4"/>
        <v>109958</v>
      </c>
    </row>
    <row r="110" spans="1:12" ht="30" customHeight="1" thickTop="1" x14ac:dyDescent="0.2">
      <c r="A110" s="1503" t="s">
        <v>363</v>
      </c>
      <c r="B110" s="1504"/>
      <c r="C110" s="1844"/>
      <c r="D110" s="1844"/>
      <c r="E110" s="1844"/>
      <c r="F110" s="1844"/>
      <c r="G110" s="1844"/>
      <c r="H110" s="1844"/>
      <c r="I110" s="1844"/>
      <c r="J110" s="1844"/>
      <c r="K110" s="1861"/>
    </row>
    <row r="111" spans="1:12" ht="12.75" customHeight="1" x14ac:dyDescent="0.2">
      <c r="A111" s="479" t="s">
        <v>876</v>
      </c>
      <c r="B111" s="478">
        <v>2100</v>
      </c>
      <c r="C111" s="1859">
        <v>0</v>
      </c>
      <c r="D111" s="1833">
        <v>0</v>
      </c>
      <c r="E111" s="1890"/>
      <c r="F111" s="1833">
        <v>0</v>
      </c>
      <c r="G111" s="1833">
        <v>0</v>
      </c>
      <c r="H111" s="1890"/>
      <c r="I111" s="463"/>
      <c r="J111" s="463"/>
      <c r="K111" s="463"/>
    </row>
    <row r="112" spans="1:12" ht="12.75" customHeight="1" x14ac:dyDescent="0.2">
      <c r="A112" s="459" t="s">
        <v>877</v>
      </c>
      <c r="B112" s="465">
        <v>2200</v>
      </c>
      <c r="C112" s="1882">
        <v>0</v>
      </c>
      <c r="D112" s="461">
        <v>0</v>
      </c>
      <c r="E112" s="1890"/>
      <c r="F112" s="461">
        <v>0</v>
      </c>
      <c r="G112" s="461">
        <v>0</v>
      </c>
      <c r="H112" s="1890"/>
      <c r="I112" s="463"/>
      <c r="J112" s="463"/>
      <c r="K112" s="463"/>
      <c r="L112" s="516"/>
    </row>
    <row r="113" spans="1:11" ht="12.75" customHeight="1" x14ac:dyDescent="0.2">
      <c r="A113" s="459" t="s">
        <v>28</v>
      </c>
      <c r="B113" s="465">
        <v>2300</v>
      </c>
      <c r="C113" s="1882">
        <v>0</v>
      </c>
      <c r="D113" s="461">
        <v>0</v>
      </c>
      <c r="E113" s="1890"/>
      <c r="F113" s="461">
        <v>0</v>
      </c>
      <c r="G113" s="461">
        <v>0</v>
      </c>
      <c r="H113" s="1890"/>
      <c r="I113" s="463"/>
      <c r="J113" s="463"/>
      <c r="K113" s="463"/>
    </row>
    <row r="114" spans="1:11" ht="13.5" thickBot="1" x14ac:dyDescent="0.25">
      <c r="A114" s="1615" t="s">
        <v>838</v>
      </c>
      <c r="B114" s="1616" t="s">
        <v>589</v>
      </c>
      <c r="C114" s="1892">
        <f>SUM(C111:C113)</f>
        <v>0</v>
      </c>
      <c r="D114" s="1892">
        <f>SUM(D111:D113)</f>
        <v>0</v>
      </c>
      <c r="E114" s="1890" t="s">
        <v>1230</v>
      </c>
      <c r="F114" s="1892">
        <f>SUM(F111:F113)</f>
        <v>0</v>
      </c>
      <c r="G114" s="1892">
        <f>SUM(G111:G113)</f>
        <v>0</v>
      </c>
      <c r="H114" s="1890"/>
      <c r="I114" s="463"/>
      <c r="J114" s="463"/>
      <c r="K114" s="463"/>
    </row>
    <row r="115" spans="1:11" ht="16.7" customHeight="1" thickTop="1" x14ac:dyDescent="0.2">
      <c r="A115" s="1505" t="s">
        <v>835</v>
      </c>
      <c r="B115" s="1506"/>
      <c r="C115" s="1843"/>
      <c r="D115" s="1844"/>
      <c r="E115" s="1844"/>
      <c r="F115" s="1844"/>
      <c r="G115" s="1844"/>
      <c r="H115" s="1844"/>
      <c r="I115" s="1844"/>
      <c r="J115" s="1844"/>
      <c r="K115" s="1861"/>
    </row>
    <row r="116" spans="1:11" ht="18" customHeight="1" x14ac:dyDescent="0.2">
      <c r="A116" s="1513" t="s">
        <v>1570</v>
      </c>
      <c r="B116" s="1514"/>
      <c r="C116" s="1866"/>
      <c r="D116" s="1863"/>
      <c r="E116" s="1890"/>
      <c r="F116" s="1863"/>
      <c r="G116" s="1863"/>
      <c r="H116" s="1890"/>
      <c r="I116" s="463"/>
      <c r="J116" s="1863"/>
      <c r="K116" s="1863"/>
    </row>
    <row r="117" spans="1:11" ht="12.75" customHeight="1" x14ac:dyDescent="0.2">
      <c r="A117" s="459" t="s">
        <v>1765</v>
      </c>
      <c r="B117" s="521">
        <v>3001</v>
      </c>
      <c r="C117" s="1859">
        <v>14370409</v>
      </c>
      <c r="D117" s="1833">
        <v>0</v>
      </c>
      <c r="E117" s="461">
        <v>0</v>
      </c>
      <c r="F117" s="1833">
        <v>0</v>
      </c>
      <c r="G117" s="1833">
        <v>0</v>
      </c>
      <c r="H117" s="461">
        <v>0</v>
      </c>
      <c r="I117" s="463"/>
      <c r="J117" s="462">
        <v>0</v>
      </c>
      <c r="K117" s="461">
        <v>0</v>
      </c>
    </row>
    <row r="118" spans="1:11" ht="12.75" customHeight="1" x14ac:dyDescent="0.2">
      <c r="A118" s="459" t="s">
        <v>1898</v>
      </c>
      <c r="B118" s="521">
        <v>3002</v>
      </c>
      <c r="C118" s="1882">
        <v>0</v>
      </c>
      <c r="D118" s="461">
        <v>0</v>
      </c>
      <c r="E118" s="461">
        <v>0</v>
      </c>
      <c r="F118" s="461">
        <v>0</v>
      </c>
      <c r="G118" s="461">
        <v>0</v>
      </c>
      <c r="H118" s="461">
        <v>0</v>
      </c>
      <c r="I118" s="463"/>
      <c r="J118" s="462">
        <v>0</v>
      </c>
      <c r="K118" s="461">
        <v>0</v>
      </c>
    </row>
    <row r="119" spans="1:11" ht="12.75" customHeight="1" x14ac:dyDescent="0.2">
      <c r="A119" s="459" t="s">
        <v>1899</v>
      </c>
      <c r="B119" s="521">
        <v>3005</v>
      </c>
      <c r="C119" s="1882">
        <v>0</v>
      </c>
      <c r="D119" s="461">
        <v>0</v>
      </c>
      <c r="E119" s="461">
        <v>0</v>
      </c>
      <c r="F119" s="461">
        <v>0</v>
      </c>
      <c r="G119" s="461">
        <v>0</v>
      </c>
      <c r="H119" s="461">
        <v>0</v>
      </c>
      <c r="I119" s="463"/>
      <c r="J119" s="462">
        <v>0</v>
      </c>
      <c r="K119" s="461">
        <v>0</v>
      </c>
    </row>
    <row r="120" spans="1:11" x14ac:dyDescent="0.2">
      <c r="A120" s="1423" t="s">
        <v>1900</v>
      </c>
      <c r="B120" s="523">
        <v>3099</v>
      </c>
      <c r="C120" s="1882">
        <v>0</v>
      </c>
      <c r="D120" s="461">
        <v>0</v>
      </c>
      <c r="E120" s="461">
        <v>0</v>
      </c>
      <c r="F120" s="461">
        <v>0</v>
      </c>
      <c r="G120" s="461">
        <v>0</v>
      </c>
      <c r="H120" s="461">
        <v>0</v>
      </c>
      <c r="I120" s="463"/>
      <c r="J120" s="462">
        <v>0</v>
      </c>
      <c r="K120" s="461">
        <v>0</v>
      </c>
    </row>
    <row r="121" spans="1:11" ht="12.6" customHeight="1" thickBot="1" x14ac:dyDescent="0.25">
      <c r="A121" s="1610" t="s">
        <v>508</v>
      </c>
      <c r="B121" s="1617"/>
      <c r="C121" s="1883">
        <f t="shared" ref="C121:H121" si="5">SUM(C117:C120)</f>
        <v>14370409</v>
      </c>
      <c r="D121" s="1883">
        <f t="shared" si="5"/>
        <v>0</v>
      </c>
      <c r="E121" s="1883">
        <f t="shared" si="5"/>
        <v>0</v>
      </c>
      <c r="F121" s="1883">
        <f t="shared" si="5"/>
        <v>0</v>
      </c>
      <c r="G121" s="1883">
        <f t="shared" si="5"/>
        <v>0</v>
      </c>
      <c r="H121" s="1883">
        <f t="shared" si="5"/>
        <v>0</v>
      </c>
      <c r="I121" s="463"/>
      <c r="J121" s="1883">
        <f>SUM(J117:J120)</f>
        <v>0</v>
      </c>
      <c r="K121" s="1851">
        <f>SUM(K117:K120)</f>
        <v>0</v>
      </c>
    </row>
    <row r="122" spans="1:11" ht="15.75" customHeight="1" thickTop="1" x14ac:dyDescent="0.2">
      <c r="A122" s="1510" t="s">
        <v>1569</v>
      </c>
      <c r="B122" s="1515"/>
      <c r="C122" s="1893"/>
      <c r="D122" s="1855"/>
      <c r="E122" s="463"/>
      <c r="F122" s="1894"/>
      <c r="G122" s="463"/>
      <c r="H122" s="463"/>
      <c r="I122" s="463"/>
      <c r="J122" s="463"/>
      <c r="K122" s="463"/>
    </row>
    <row r="123" spans="1:11" ht="15" customHeight="1" x14ac:dyDescent="0.2">
      <c r="A123" s="1516" t="s">
        <v>687</v>
      </c>
      <c r="B123" s="1517"/>
      <c r="C123" s="1863"/>
      <c r="D123" s="1855"/>
      <c r="E123" s="463"/>
      <c r="F123" s="1863"/>
      <c r="G123" s="463"/>
      <c r="H123" s="463"/>
      <c r="I123" s="463"/>
      <c r="J123" s="463"/>
      <c r="K123" s="463"/>
    </row>
    <row r="124" spans="1:11" ht="12.75" customHeight="1" x14ac:dyDescent="0.2">
      <c r="A124" s="459" t="s">
        <v>920</v>
      </c>
      <c r="B124" s="524">
        <v>3100</v>
      </c>
      <c r="C124" s="1833">
        <v>644288</v>
      </c>
      <c r="D124" s="1890"/>
      <c r="E124" s="463"/>
      <c r="F124" s="1881">
        <v>0</v>
      </c>
      <c r="G124" s="463"/>
      <c r="H124" s="463"/>
      <c r="I124" s="463"/>
      <c r="J124" s="463"/>
      <c r="K124" s="463"/>
    </row>
    <row r="125" spans="1:11" ht="12.75" customHeight="1" x14ac:dyDescent="0.2">
      <c r="A125" s="459" t="s">
        <v>1520</v>
      </c>
      <c r="B125" s="521">
        <v>3105</v>
      </c>
      <c r="C125" s="461">
        <v>325658</v>
      </c>
      <c r="D125" s="1890"/>
      <c r="E125" s="463"/>
      <c r="F125" s="461">
        <v>0</v>
      </c>
      <c r="G125" s="463"/>
      <c r="H125" s="463"/>
      <c r="I125" s="463"/>
      <c r="J125" s="463"/>
      <c r="K125" s="463"/>
    </row>
    <row r="126" spans="1:11" ht="12.75" customHeight="1" x14ac:dyDescent="0.2">
      <c r="A126" s="459" t="s">
        <v>921</v>
      </c>
      <c r="B126" s="521">
        <v>3110</v>
      </c>
      <c r="C126" s="1882">
        <v>594307</v>
      </c>
      <c r="D126" s="461">
        <v>0</v>
      </c>
      <c r="E126" s="463"/>
      <c r="F126" s="461">
        <v>0</v>
      </c>
      <c r="G126" s="463"/>
      <c r="H126" s="463"/>
      <c r="I126" s="463"/>
      <c r="J126" s="463"/>
      <c r="K126" s="463"/>
    </row>
    <row r="127" spans="1:11" ht="12.75" customHeight="1" x14ac:dyDescent="0.2">
      <c r="A127" s="459" t="s">
        <v>107</v>
      </c>
      <c r="B127" s="521">
        <v>3120</v>
      </c>
      <c r="C127" s="461">
        <v>1411488</v>
      </c>
      <c r="D127" s="1890"/>
      <c r="E127" s="463"/>
      <c r="F127" s="461">
        <v>0</v>
      </c>
      <c r="G127" s="463"/>
      <c r="H127" s="463"/>
      <c r="I127" s="463"/>
      <c r="J127" s="463"/>
      <c r="K127" s="463"/>
    </row>
    <row r="128" spans="1:11" ht="12.75" customHeight="1" x14ac:dyDescent="0.2">
      <c r="A128" s="459" t="s">
        <v>1521</v>
      </c>
      <c r="B128" s="521">
        <v>3130</v>
      </c>
      <c r="C128" s="461">
        <v>365627</v>
      </c>
      <c r="D128" s="1890"/>
      <c r="E128" s="463"/>
      <c r="F128" s="461">
        <v>0</v>
      </c>
      <c r="G128" s="463"/>
      <c r="H128" s="463"/>
      <c r="I128" s="463"/>
      <c r="J128" s="463"/>
      <c r="K128" s="463"/>
    </row>
    <row r="129" spans="1:11" ht="12.75" customHeight="1" x14ac:dyDescent="0.2">
      <c r="A129" s="459" t="s">
        <v>139</v>
      </c>
      <c r="B129" s="521">
        <v>3145</v>
      </c>
      <c r="C129" s="461">
        <v>8346</v>
      </c>
      <c r="D129" s="1890"/>
      <c r="E129" s="463"/>
      <c r="F129" s="461">
        <v>0</v>
      </c>
      <c r="G129" s="463"/>
      <c r="H129" s="463"/>
      <c r="I129" s="463"/>
      <c r="J129" s="463"/>
      <c r="K129" s="463"/>
    </row>
    <row r="130" spans="1:11" ht="12.75" customHeight="1" x14ac:dyDescent="0.2">
      <c r="A130" s="459" t="s">
        <v>68</v>
      </c>
      <c r="B130" s="521">
        <v>3199</v>
      </c>
      <c r="C130" s="1882">
        <v>0</v>
      </c>
      <c r="D130" s="462">
        <v>0</v>
      </c>
      <c r="E130" s="463"/>
      <c r="F130" s="461">
        <v>0</v>
      </c>
      <c r="G130" s="463"/>
      <c r="H130" s="463"/>
      <c r="I130" s="463"/>
      <c r="J130" s="463"/>
      <c r="K130" s="463"/>
    </row>
    <row r="131" spans="1:11" ht="12.75" customHeight="1" thickBot="1" x14ac:dyDescent="0.25">
      <c r="A131" s="1610" t="s">
        <v>1091</v>
      </c>
      <c r="B131" s="1618"/>
      <c r="C131" s="1883">
        <f>SUM(C124:C130)</f>
        <v>3349714</v>
      </c>
      <c r="D131" s="1883">
        <f>SUM(D124:D130)</f>
        <v>0</v>
      </c>
      <c r="E131" s="464" t="s">
        <v>1230</v>
      </c>
      <c r="F131" s="1883">
        <f>SUM(F124:F130)</f>
        <v>0</v>
      </c>
      <c r="G131" s="463" t="s">
        <v>1230</v>
      </c>
      <c r="H131" s="463" t="s">
        <v>1230</v>
      </c>
      <c r="I131" s="463" t="s">
        <v>1230</v>
      </c>
      <c r="J131" s="463" t="s">
        <v>1230</v>
      </c>
      <c r="K131" s="463" t="s">
        <v>1230</v>
      </c>
    </row>
    <row r="132" spans="1:11" ht="15.75" customHeight="1" thickTop="1" x14ac:dyDescent="0.2">
      <c r="A132" s="1518" t="s">
        <v>268</v>
      </c>
      <c r="B132" s="1519"/>
      <c r="C132" s="1884"/>
      <c r="D132" s="1884"/>
      <c r="E132" s="1855"/>
      <c r="F132" s="1884"/>
      <c r="G132" s="463"/>
      <c r="H132" s="463"/>
      <c r="I132" s="463"/>
      <c r="J132" s="463"/>
      <c r="K132" s="463"/>
    </row>
    <row r="133" spans="1:11" x14ac:dyDescent="0.2">
      <c r="A133" s="459" t="s">
        <v>619</v>
      </c>
      <c r="B133" s="521">
        <v>3200</v>
      </c>
      <c r="C133" s="1882">
        <v>0</v>
      </c>
      <c r="D133" s="461">
        <v>0</v>
      </c>
      <c r="E133" s="1890"/>
      <c r="F133" s="463"/>
      <c r="G133" s="461">
        <v>0</v>
      </c>
      <c r="H133" s="463"/>
      <c r="I133" s="463"/>
      <c r="J133" s="463"/>
      <c r="K133" s="463"/>
    </row>
    <row r="134" spans="1:11" ht="12.75" customHeight="1" x14ac:dyDescent="0.2">
      <c r="A134" s="459" t="s">
        <v>689</v>
      </c>
      <c r="B134" s="521">
        <v>3220</v>
      </c>
      <c r="C134" s="1882">
        <v>87283</v>
      </c>
      <c r="D134" s="461">
        <v>0</v>
      </c>
      <c r="E134" s="1890"/>
      <c r="F134" s="463"/>
      <c r="G134" s="462">
        <v>0</v>
      </c>
      <c r="H134" s="463"/>
      <c r="I134" s="463"/>
      <c r="J134" s="463"/>
      <c r="K134" s="463"/>
    </row>
    <row r="135" spans="1:11" ht="12.75" customHeight="1" x14ac:dyDescent="0.2">
      <c r="A135" s="459" t="s">
        <v>267</v>
      </c>
      <c r="B135" s="521">
        <v>3225</v>
      </c>
      <c r="C135" s="1882">
        <v>0</v>
      </c>
      <c r="D135" s="461">
        <v>0</v>
      </c>
      <c r="E135" s="1890"/>
      <c r="F135" s="463"/>
      <c r="G135" s="462">
        <v>0</v>
      </c>
      <c r="H135" s="463"/>
      <c r="I135" s="463"/>
      <c r="J135" s="463"/>
      <c r="K135" s="463"/>
    </row>
    <row r="136" spans="1:11" ht="12.75" customHeight="1" x14ac:dyDescent="0.2">
      <c r="A136" s="459" t="s">
        <v>620</v>
      </c>
      <c r="B136" s="521">
        <v>3235</v>
      </c>
      <c r="C136" s="1838">
        <v>0</v>
      </c>
      <c r="D136" s="462">
        <v>0</v>
      </c>
      <c r="E136" s="1890"/>
      <c r="F136" s="463"/>
      <c r="G136" s="462">
        <v>0</v>
      </c>
      <c r="H136" s="463"/>
      <c r="I136" s="463"/>
      <c r="J136" s="463"/>
      <c r="K136" s="463"/>
    </row>
    <row r="137" spans="1:11" ht="12.75" customHeight="1" x14ac:dyDescent="0.2">
      <c r="A137" s="459" t="s">
        <v>621</v>
      </c>
      <c r="B137" s="521">
        <v>3240</v>
      </c>
      <c r="C137" s="1838">
        <v>0</v>
      </c>
      <c r="D137" s="462">
        <v>0</v>
      </c>
      <c r="E137" s="1890"/>
      <c r="F137" s="463"/>
      <c r="G137" s="462">
        <v>0</v>
      </c>
      <c r="H137" s="463"/>
      <c r="I137" s="463"/>
      <c r="J137" s="463"/>
      <c r="K137" s="463"/>
    </row>
    <row r="138" spans="1:11" ht="12.75" customHeight="1" x14ac:dyDescent="0.2">
      <c r="A138" s="459" t="s">
        <v>622</v>
      </c>
      <c r="B138" s="521">
        <v>3270</v>
      </c>
      <c r="C138" s="1838">
        <v>0</v>
      </c>
      <c r="D138" s="462">
        <v>0</v>
      </c>
      <c r="E138" s="1890"/>
      <c r="F138" s="463"/>
      <c r="G138" s="462">
        <v>0</v>
      </c>
      <c r="H138" s="463"/>
      <c r="I138" s="463"/>
      <c r="J138" s="463"/>
      <c r="K138" s="463"/>
    </row>
    <row r="139" spans="1:11" ht="12.75" customHeight="1" x14ac:dyDescent="0.2">
      <c r="A139" s="459" t="s">
        <v>69</v>
      </c>
      <c r="B139" s="521">
        <v>3299</v>
      </c>
      <c r="C139" s="1882">
        <v>0</v>
      </c>
      <c r="D139" s="461">
        <v>0</v>
      </c>
      <c r="E139" s="1890"/>
      <c r="F139" s="469"/>
      <c r="G139" s="462">
        <v>0</v>
      </c>
      <c r="H139" s="463"/>
      <c r="I139" s="463"/>
      <c r="J139" s="463"/>
      <c r="K139" s="463"/>
    </row>
    <row r="140" spans="1:11" ht="12.75" customHeight="1" thickBot="1" x14ac:dyDescent="0.25">
      <c r="A140" s="1610" t="s">
        <v>623</v>
      </c>
      <c r="B140" s="1618"/>
      <c r="C140" s="1883">
        <f>SUM(C133:C139)</f>
        <v>87283</v>
      </c>
      <c r="D140" s="1883">
        <f>SUM(D133:D139)</f>
        <v>0</v>
      </c>
      <c r="E140" s="1890" t="s">
        <v>1230</v>
      </c>
      <c r="F140" s="469"/>
      <c r="G140" s="1883">
        <f>SUM(G133:G139)</f>
        <v>0</v>
      </c>
      <c r="H140" s="463" t="s">
        <v>1230</v>
      </c>
      <c r="I140" s="463" t="s">
        <v>1230</v>
      </c>
      <c r="J140" s="463" t="s">
        <v>1230</v>
      </c>
      <c r="K140" s="463" t="s">
        <v>1230</v>
      </c>
    </row>
    <row r="141" spans="1:11" ht="15.75" customHeight="1" thickTop="1" x14ac:dyDescent="0.2">
      <c r="A141" s="1518" t="s">
        <v>690</v>
      </c>
      <c r="B141" s="1519"/>
      <c r="C141" s="1884"/>
      <c r="D141" s="1894"/>
      <c r="E141" s="1890"/>
      <c r="F141" s="1884"/>
      <c r="G141" s="1884"/>
      <c r="H141" s="463"/>
      <c r="I141" s="463"/>
      <c r="J141" s="463"/>
      <c r="K141" s="463"/>
    </row>
    <row r="142" spans="1:11" ht="12.75" customHeight="1" x14ac:dyDescent="0.2">
      <c r="A142" s="459" t="s">
        <v>624</v>
      </c>
      <c r="B142" s="521">
        <v>3305</v>
      </c>
      <c r="C142" s="461">
        <v>362865</v>
      </c>
      <c r="D142" s="463"/>
      <c r="E142" s="1890"/>
      <c r="F142" s="463"/>
      <c r="G142" s="461">
        <v>0</v>
      </c>
      <c r="H142" s="463"/>
      <c r="I142" s="463"/>
      <c r="J142" s="463"/>
      <c r="K142" s="463"/>
    </row>
    <row r="143" spans="1:11" ht="12.75" customHeight="1" x14ac:dyDescent="0.2">
      <c r="A143" s="459" t="s">
        <v>364</v>
      </c>
      <c r="B143" s="521">
        <v>3310</v>
      </c>
      <c r="C143" s="1882">
        <v>0</v>
      </c>
      <c r="D143" s="463"/>
      <c r="E143" s="1890"/>
      <c r="F143" s="463"/>
      <c r="G143" s="461">
        <v>0</v>
      </c>
      <c r="H143" s="463"/>
      <c r="I143" s="463"/>
      <c r="J143" s="463"/>
      <c r="K143" s="463"/>
    </row>
    <row r="144" spans="1:11" s="198" customFormat="1" ht="13.5" thickBot="1" x14ac:dyDescent="0.25">
      <c r="A144" s="1610" t="s">
        <v>413</v>
      </c>
      <c r="B144" s="1618"/>
      <c r="C144" s="1851">
        <f>SUM(C142:C143)</f>
        <v>362865</v>
      </c>
      <c r="D144" s="463"/>
      <c r="E144" s="1855"/>
      <c r="F144" s="463"/>
      <c r="G144" s="1895">
        <f>SUM(G142:G143)</f>
        <v>0</v>
      </c>
      <c r="H144" s="463"/>
      <c r="I144" s="463"/>
      <c r="J144" s="463"/>
      <c r="K144" s="463"/>
    </row>
    <row r="145" spans="1:11" s="198" customFormat="1" ht="12.75" customHeight="1" thickTop="1" x14ac:dyDescent="0.2">
      <c r="A145" s="1425" t="s">
        <v>1115</v>
      </c>
      <c r="B145" s="525">
        <v>3360</v>
      </c>
      <c r="C145" s="1833">
        <v>50923</v>
      </c>
      <c r="D145" s="1863"/>
      <c r="E145" s="1855"/>
      <c r="F145" s="463"/>
      <c r="G145" s="1896"/>
      <c r="H145" s="463"/>
      <c r="I145" s="463"/>
      <c r="J145" s="463"/>
      <c r="K145" s="463"/>
    </row>
    <row r="146" spans="1:11" ht="12.75" customHeight="1" thickBot="1" x14ac:dyDescent="0.25">
      <c r="A146" s="1426" t="s">
        <v>978</v>
      </c>
      <c r="B146" s="526">
        <v>3365</v>
      </c>
      <c r="C146" s="1877">
        <v>0</v>
      </c>
      <c r="D146" s="1897">
        <v>0</v>
      </c>
      <c r="E146" s="1890"/>
      <c r="F146" s="463"/>
      <c r="G146" s="1897">
        <v>0</v>
      </c>
      <c r="H146" s="463"/>
      <c r="I146" s="463"/>
      <c r="J146" s="463"/>
      <c r="K146" s="463"/>
    </row>
    <row r="147" spans="1:11" ht="12.75" customHeight="1" thickTop="1" thickBot="1" x14ac:dyDescent="0.25">
      <c r="A147" s="1427" t="s">
        <v>140</v>
      </c>
      <c r="B147" s="527">
        <v>3370</v>
      </c>
      <c r="C147" s="1877">
        <v>81164</v>
      </c>
      <c r="D147" s="1877">
        <v>0</v>
      </c>
      <c r="E147" s="1855"/>
      <c r="F147" s="463"/>
      <c r="G147" s="463"/>
      <c r="H147" s="463"/>
      <c r="I147" s="463"/>
      <c r="J147" s="463"/>
      <c r="K147" s="463"/>
    </row>
    <row r="148" spans="1:11" ht="12.75" customHeight="1" thickTop="1" thickBot="1" x14ac:dyDescent="0.25">
      <c r="A148" s="1427" t="s">
        <v>790</v>
      </c>
      <c r="B148" s="527">
        <v>3410</v>
      </c>
      <c r="C148" s="1898">
        <v>0</v>
      </c>
      <c r="D148" s="1875">
        <v>0</v>
      </c>
      <c r="E148" s="1899">
        <v>0</v>
      </c>
      <c r="F148" s="1873">
        <v>0</v>
      </c>
      <c r="G148" s="1873">
        <v>0</v>
      </c>
      <c r="H148" s="1873">
        <v>0</v>
      </c>
      <c r="I148" s="1873">
        <v>0</v>
      </c>
      <c r="J148" s="1873">
        <v>0</v>
      </c>
      <c r="K148" s="1873">
        <v>0</v>
      </c>
    </row>
    <row r="149" spans="1:11" ht="12.75" customHeight="1" thickTop="1" thickBot="1" x14ac:dyDescent="0.25">
      <c r="A149" s="1427" t="s">
        <v>70</v>
      </c>
      <c r="B149" s="527">
        <v>3499</v>
      </c>
      <c r="C149" s="1898">
        <v>0</v>
      </c>
      <c r="D149" s="1875">
        <v>0</v>
      </c>
      <c r="E149" s="1897">
        <v>0</v>
      </c>
      <c r="F149" s="1897">
        <v>0</v>
      </c>
      <c r="G149" s="1897">
        <v>0</v>
      </c>
      <c r="H149" s="1897">
        <v>0</v>
      </c>
      <c r="I149" s="1897">
        <v>0</v>
      </c>
      <c r="J149" s="1897">
        <v>0</v>
      </c>
      <c r="K149" s="1897">
        <v>0</v>
      </c>
    </row>
    <row r="150" spans="1:11" ht="15.75" customHeight="1" thickTop="1" x14ac:dyDescent="0.2">
      <c r="A150" s="1518" t="s">
        <v>472</v>
      </c>
      <c r="B150" s="1520"/>
      <c r="C150" s="1884"/>
      <c r="D150" s="463"/>
      <c r="E150" s="1890"/>
      <c r="F150" s="463"/>
      <c r="G150" s="463"/>
      <c r="H150" s="463"/>
      <c r="I150" s="463"/>
      <c r="J150" s="463"/>
      <c r="K150" s="463"/>
    </row>
    <row r="151" spans="1:11" ht="12.75" customHeight="1" x14ac:dyDescent="0.2">
      <c r="A151" s="459" t="s">
        <v>1522</v>
      </c>
      <c r="B151" s="521">
        <v>3500</v>
      </c>
      <c r="C151" s="1882">
        <v>0</v>
      </c>
      <c r="D151" s="461">
        <v>0</v>
      </c>
      <c r="E151" s="1890"/>
      <c r="F151" s="461">
        <v>1927033</v>
      </c>
      <c r="G151" s="462">
        <v>0</v>
      </c>
      <c r="H151" s="463"/>
      <c r="I151" s="463"/>
      <c r="J151" s="463"/>
      <c r="K151" s="463"/>
    </row>
    <row r="152" spans="1:11" ht="12.75" customHeight="1" x14ac:dyDescent="0.2">
      <c r="A152" s="459" t="s">
        <v>1116</v>
      </c>
      <c r="B152" s="521">
        <v>3510</v>
      </c>
      <c r="C152" s="1882">
        <v>0</v>
      </c>
      <c r="D152" s="461">
        <v>0</v>
      </c>
      <c r="E152" s="1890"/>
      <c r="F152" s="461">
        <v>1016621</v>
      </c>
      <c r="G152" s="462">
        <v>0</v>
      </c>
      <c r="H152" s="463"/>
      <c r="I152" s="463"/>
      <c r="J152" s="463"/>
      <c r="K152" s="463"/>
    </row>
    <row r="153" spans="1:11" ht="12.75" customHeight="1" x14ac:dyDescent="0.2">
      <c r="A153" s="459" t="s">
        <v>71</v>
      </c>
      <c r="B153" s="521">
        <v>3599</v>
      </c>
      <c r="C153" s="1882">
        <v>0</v>
      </c>
      <c r="D153" s="461">
        <v>0</v>
      </c>
      <c r="E153" s="1890"/>
      <c r="F153" s="461">
        <v>0</v>
      </c>
      <c r="G153" s="462">
        <v>0</v>
      </c>
      <c r="H153" s="463"/>
      <c r="I153" s="463"/>
      <c r="J153" s="463"/>
      <c r="K153" s="463"/>
    </row>
    <row r="154" spans="1:11" ht="12.75" customHeight="1" thickBot="1" x14ac:dyDescent="0.25">
      <c r="A154" s="1610" t="s">
        <v>96</v>
      </c>
      <c r="B154" s="1618"/>
      <c r="C154" s="1883">
        <f>SUM(C151:C153)</f>
        <v>0</v>
      </c>
      <c r="D154" s="1883">
        <f>SUM(D151:D153)</f>
        <v>0</v>
      </c>
      <c r="E154" s="1890"/>
      <c r="F154" s="1883">
        <f>SUM(F151:F153)</f>
        <v>2943654</v>
      </c>
      <c r="G154" s="1883">
        <f>SUM(G151:G153)</f>
        <v>0</v>
      </c>
      <c r="H154" s="463"/>
      <c r="I154" s="463"/>
      <c r="J154" s="463"/>
      <c r="K154" s="463"/>
    </row>
    <row r="155" spans="1:11" ht="12.75" customHeight="1" thickTop="1" thickBot="1" x14ac:dyDescent="0.25">
      <c r="A155" s="1427" t="s">
        <v>397</v>
      </c>
      <c r="B155" s="527">
        <v>3610</v>
      </c>
      <c r="C155" s="1875">
        <v>0</v>
      </c>
      <c r="D155" s="463"/>
      <c r="E155" s="1855"/>
      <c r="F155" s="463"/>
      <c r="G155" s="463"/>
      <c r="H155" s="463"/>
      <c r="I155" s="463"/>
      <c r="J155" s="463"/>
      <c r="K155" s="463"/>
    </row>
    <row r="156" spans="1:11" ht="12.75" customHeight="1" thickTop="1" thickBot="1" x14ac:dyDescent="0.25">
      <c r="A156" s="1427" t="s">
        <v>52</v>
      </c>
      <c r="B156" s="527">
        <v>3660</v>
      </c>
      <c r="C156" s="1877">
        <v>0</v>
      </c>
      <c r="D156" s="1876">
        <v>0</v>
      </c>
      <c r="E156" s="1890"/>
      <c r="F156" s="1876">
        <v>0</v>
      </c>
      <c r="G156" s="1876">
        <v>0</v>
      </c>
      <c r="H156" s="463"/>
      <c r="I156" s="463"/>
      <c r="J156" s="463"/>
      <c r="K156" s="463"/>
    </row>
    <row r="157" spans="1:11" ht="12.75" customHeight="1" thickTop="1" thickBot="1" x14ac:dyDescent="0.25">
      <c r="A157" s="1427" t="s">
        <v>1056</v>
      </c>
      <c r="B157" s="527">
        <v>3695</v>
      </c>
      <c r="C157" s="1875">
        <v>225606</v>
      </c>
      <c r="D157" s="463"/>
      <c r="E157" s="1890"/>
      <c r="F157" s="1875">
        <v>0</v>
      </c>
      <c r="G157" s="1875">
        <v>0</v>
      </c>
      <c r="H157" s="463"/>
      <c r="I157" s="463"/>
      <c r="J157" s="463"/>
      <c r="K157" s="463"/>
    </row>
    <row r="158" spans="1:11" ht="12.75" customHeight="1" thickTop="1" thickBot="1" x14ac:dyDescent="0.25">
      <c r="A158" s="1427" t="s">
        <v>1110</v>
      </c>
      <c r="B158" s="527">
        <v>3705</v>
      </c>
      <c r="C158" s="1875">
        <v>1182938</v>
      </c>
      <c r="D158" s="1876">
        <v>0</v>
      </c>
      <c r="E158" s="1890"/>
      <c r="F158" s="1875">
        <v>0</v>
      </c>
      <c r="G158" s="1875">
        <v>0</v>
      </c>
      <c r="H158" s="463"/>
      <c r="I158" s="463"/>
      <c r="J158" s="463"/>
      <c r="K158" s="463"/>
    </row>
    <row r="159" spans="1:11" ht="12.75" customHeight="1" thickTop="1" thickBot="1" x14ac:dyDescent="0.25">
      <c r="A159" s="1427" t="s">
        <v>39</v>
      </c>
      <c r="B159" s="527">
        <v>3715</v>
      </c>
      <c r="C159" s="1875">
        <v>0</v>
      </c>
      <c r="D159" s="463"/>
      <c r="E159" s="1890"/>
      <c r="F159" s="1875">
        <v>0</v>
      </c>
      <c r="G159" s="1875">
        <v>0</v>
      </c>
      <c r="H159" s="463"/>
      <c r="I159" s="463"/>
      <c r="J159" s="463"/>
      <c r="K159" s="463"/>
    </row>
    <row r="160" spans="1:11" ht="12.75" customHeight="1" thickTop="1" thickBot="1" x14ac:dyDescent="0.25">
      <c r="A160" s="1427" t="s">
        <v>40</v>
      </c>
      <c r="B160" s="527">
        <v>3720</v>
      </c>
      <c r="C160" s="1875">
        <v>0</v>
      </c>
      <c r="D160" s="463"/>
      <c r="E160" s="1890"/>
      <c r="F160" s="1875">
        <v>0</v>
      </c>
      <c r="G160" s="1875">
        <v>0</v>
      </c>
      <c r="H160" s="463"/>
      <c r="I160" s="463"/>
      <c r="J160" s="463"/>
      <c r="K160" s="463"/>
    </row>
    <row r="161" spans="1:11" ht="12.75" customHeight="1" thickTop="1" thickBot="1" x14ac:dyDescent="0.25">
      <c r="A161" s="1427" t="s">
        <v>414</v>
      </c>
      <c r="B161" s="527">
        <v>3725</v>
      </c>
      <c r="C161" s="1874">
        <v>0</v>
      </c>
      <c r="D161" s="463"/>
      <c r="E161" s="1890"/>
      <c r="F161" s="1874">
        <v>0</v>
      </c>
      <c r="G161" s="1874">
        <v>0</v>
      </c>
      <c r="H161" s="463"/>
      <c r="I161" s="463"/>
      <c r="J161" s="463"/>
      <c r="K161" s="463"/>
    </row>
    <row r="162" spans="1:11" ht="12.75" customHeight="1" thickTop="1" thickBot="1" x14ac:dyDescent="0.25">
      <c r="A162" s="1427" t="s">
        <v>415</v>
      </c>
      <c r="B162" s="527">
        <v>3726</v>
      </c>
      <c r="C162" s="1874">
        <v>0</v>
      </c>
      <c r="D162" s="463"/>
      <c r="E162" s="1890"/>
      <c r="F162" s="1874">
        <v>0</v>
      </c>
      <c r="G162" s="1874">
        <v>0</v>
      </c>
      <c r="H162" s="463"/>
      <c r="I162" s="463"/>
      <c r="J162" s="463"/>
      <c r="K162" s="463"/>
    </row>
    <row r="163" spans="1:11" ht="12.75" customHeight="1" thickTop="1" thickBot="1" x14ac:dyDescent="0.25">
      <c r="A163" s="1427" t="s">
        <v>41</v>
      </c>
      <c r="B163" s="527">
        <v>3766</v>
      </c>
      <c r="C163" s="1875">
        <v>0</v>
      </c>
      <c r="D163" s="1876">
        <v>0</v>
      </c>
      <c r="E163" s="1890"/>
      <c r="F163" s="1875">
        <v>0</v>
      </c>
      <c r="G163" s="1874">
        <v>0</v>
      </c>
      <c r="H163" s="463"/>
      <c r="I163" s="463"/>
      <c r="J163" s="463"/>
      <c r="K163" s="463"/>
    </row>
    <row r="164" spans="1:11" ht="12.75" customHeight="1" thickTop="1" thickBot="1" x14ac:dyDescent="0.25">
      <c r="A164" s="1427" t="s">
        <v>1041</v>
      </c>
      <c r="B164" s="527">
        <v>3767</v>
      </c>
      <c r="C164" s="1875">
        <v>0</v>
      </c>
      <c r="D164" s="1874">
        <v>0</v>
      </c>
      <c r="E164" s="1890"/>
      <c r="F164" s="1874">
        <v>0</v>
      </c>
      <c r="G164" s="1874">
        <v>0</v>
      </c>
      <c r="H164" s="463"/>
      <c r="I164" s="463"/>
      <c r="J164" s="463"/>
      <c r="K164" s="463"/>
    </row>
    <row r="165" spans="1:11" ht="12.75" customHeight="1" thickTop="1" thickBot="1" x14ac:dyDescent="0.25">
      <c r="A165" s="1427" t="s">
        <v>1042</v>
      </c>
      <c r="B165" s="527">
        <v>3775</v>
      </c>
      <c r="C165" s="1875">
        <v>0</v>
      </c>
      <c r="D165" s="1877">
        <v>0</v>
      </c>
      <c r="E165" s="1873">
        <v>0</v>
      </c>
      <c r="F165" s="1877">
        <v>0</v>
      </c>
      <c r="G165" s="1897">
        <v>0</v>
      </c>
      <c r="H165" s="1873">
        <v>0</v>
      </c>
      <c r="I165" s="463"/>
      <c r="J165" s="463"/>
      <c r="K165" s="1873">
        <v>0</v>
      </c>
    </row>
    <row r="166" spans="1:11" ht="12.75" customHeight="1" thickTop="1" thickBot="1" x14ac:dyDescent="0.25">
      <c r="A166" s="1427" t="s">
        <v>1523</v>
      </c>
      <c r="B166" s="527">
        <v>3780</v>
      </c>
      <c r="C166" s="1874">
        <v>0</v>
      </c>
      <c r="D166" s="1873">
        <v>0</v>
      </c>
      <c r="E166" s="1874">
        <v>0</v>
      </c>
      <c r="F166" s="1874">
        <v>0</v>
      </c>
      <c r="G166" s="1874">
        <v>0</v>
      </c>
      <c r="H166" s="1874">
        <v>0</v>
      </c>
      <c r="I166" s="463"/>
      <c r="J166" s="463"/>
      <c r="K166" s="1874">
        <v>0</v>
      </c>
    </row>
    <row r="167" spans="1:11" ht="12.75" customHeight="1" thickTop="1" thickBot="1" x14ac:dyDescent="0.25">
      <c r="A167" s="1427" t="s">
        <v>912</v>
      </c>
      <c r="B167" s="527">
        <v>3815</v>
      </c>
      <c r="C167" s="1875">
        <v>0</v>
      </c>
      <c r="D167" s="463"/>
      <c r="E167" s="1890"/>
      <c r="F167" s="1875">
        <v>0</v>
      </c>
      <c r="G167" s="463"/>
      <c r="H167" s="463"/>
      <c r="I167" s="463"/>
      <c r="J167" s="463"/>
      <c r="K167" s="463"/>
    </row>
    <row r="168" spans="1:11" ht="12.75" customHeight="1" thickTop="1" thickBot="1" x14ac:dyDescent="0.25">
      <c r="A168" s="1427" t="s">
        <v>416</v>
      </c>
      <c r="B168" s="527">
        <v>3825</v>
      </c>
      <c r="C168" s="1875">
        <v>0</v>
      </c>
      <c r="D168" s="463"/>
      <c r="E168" s="1890"/>
      <c r="F168" s="1875">
        <v>0</v>
      </c>
      <c r="G168" s="463"/>
      <c r="H168" s="463"/>
      <c r="I168" s="463"/>
      <c r="J168" s="463"/>
      <c r="K168" s="463"/>
    </row>
    <row r="169" spans="1:11" ht="12.75" customHeight="1" thickTop="1" thickBot="1" x14ac:dyDescent="0.25">
      <c r="A169" s="1427" t="s">
        <v>365</v>
      </c>
      <c r="B169" s="527">
        <v>3920</v>
      </c>
      <c r="C169" s="1894"/>
      <c r="D169" s="1876">
        <v>0</v>
      </c>
      <c r="E169" s="463"/>
      <c r="F169" s="1894"/>
      <c r="G169" s="463"/>
      <c r="H169" s="1873">
        <v>0</v>
      </c>
      <c r="I169" s="463"/>
      <c r="J169" s="463"/>
      <c r="K169" s="463"/>
    </row>
    <row r="170" spans="1:11" ht="12.75" customHeight="1" thickTop="1" thickBot="1" x14ac:dyDescent="0.25">
      <c r="A170" s="1427" t="s">
        <v>366</v>
      </c>
      <c r="B170" s="527">
        <v>3925</v>
      </c>
      <c r="C170" s="1863"/>
      <c r="D170" s="1875">
        <v>0</v>
      </c>
      <c r="E170" s="1863"/>
      <c r="F170" s="1863"/>
      <c r="G170" s="463"/>
      <c r="H170" s="1874">
        <v>0</v>
      </c>
      <c r="I170" s="463"/>
      <c r="J170" s="463"/>
      <c r="K170" s="1873">
        <v>0</v>
      </c>
    </row>
    <row r="171" spans="1:11" ht="14.25" thickTop="1" thickBot="1" x14ac:dyDescent="0.25">
      <c r="A171" s="1427" t="s">
        <v>72</v>
      </c>
      <c r="B171" s="527">
        <v>3999</v>
      </c>
      <c r="C171" s="1900">
        <v>162045</v>
      </c>
      <c r="D171" s="1901">
        <v>0</v>
      </c>
      <c r="E171" s="1901">
        <v>0</v>
      </c>
      <c r="F171" s="1901">
        <v>0</v>
      </c>
      <c r="G171" s="528">
        <v>0</v>
      </c>
      <c r="H171" s="1902">
        <v>0</v>
      </c>
      <c r="I171" s="528">
        <v>0</v>
      </c>
      <c r="J171" s="528">
        <v>0</v>
      </c>
      <c r="K171" s="1902">
        <v>0</v>
      </c>
    </row>
    <row r="172" spans="1:11" ht="12.75" customHeight="1" thickTop="1" thickBot="1" x14ac:dyDescent="0.25">
      <c r="A172" s="2214" t="s">
        <v>417</v>
      </c>
      <c r="B172" s="2215"/>
      <c r="C172" s="1903">
        <f t="shared" ref="C172:K172" si="6">SUM(C131,C140,C144,C145:C149,C154,C155:C170,C171)</f>
        <v>5502538</v>
      </c>
      <c r="D172" s="1903">
        <f t="shared" si="6"/>
        <v>0</v>
      </c>
      <c r="E172" s="1903">
        <f t="shared" si="6"/>
        <v>0</v>
      </c>
      <c r="F172" s="1903">
        <f t="shared" si="6"/>
        <v>2943654</v>
      </c>
      <c r="G172" s="1903">
        <f t="shared" si="6"/>
        <v>0</v>
      </c>
      <c r="H172" s="1903">
        <f t="shared" si="6"/>
        <v>0</v>
      </c>
      <c r="I172" s="1903">
        <f t="shared" si="6"/>
        <v>0</v>
      </c>
      <c r="J172" s="1903">
        <f t="shared" si="6"/>
        <v>0</v>
      </c>
      <c r="K172" s="1878">
        <f t="shared" si="6"/>
        <v>0</v>
      </c>
    </row>
    <row r="173" spans="1:11" ht="12.75" customHeight="1" thickTop="1" thickBot="1" x14ac:dyDescent="0.25">
      <c r="A173" s="1610" t="s">
        <v>418</v>
      </c>
      <c r="B173" s="1614" t="s">
        <v>595</v>
      </c>
      <c r="C173" s="1891">
        <f>SUM(C121,C172)</f>
        <v>19872947</v>
      </c>
      <c r="D173" s="1891">
        <f>SUM(D121,D172)</f>
        <v>0</v>
      </c>
      <c r="E173" s="1891">
        <f>SUM(E121,E172)</f>
        <v>0</v>
      </c>
      <c r="F173" s="1891">
        <f t="shared" ref="F173:K173" si="7">SUM(F121,F172)</f>
        <v>2943654</v>
      </c>
      <c r="G173" s="1891">
        <f t="shared" si="7"/>
        <v>0</v>
      </c>
      <c r="H173" s="1891">
        <f t="shared" si="7"/>
        <v>0</v>
      </c>
      <c r="I173" s="1891">
        <f t="shared" si="7"/>
        <v>0</v>
      </c>
      <c r="J173" s="1891">
        <f t="shared" si="7"/>
        <v>0</v>
      </c>
      <c r="K173" s="1879">
        <f t="shared" si="7"/>
        <v>0</v>
      </c>
    </row>
    <row r="174" spans="1:11" ht="16.7" customHeight="1" thickTop="1" x14ac:dyDescent="0.2">
      <c r="A174" s="1507" t="s">
        <v>836</v>
      </c>
      <c r="B174" s="1488"/>
      <c r="C174" s="1843"/>
      <c r="D174" s="1844"/>
      <c r="E174" s="1844"/>
      <c r="F174" s="1844"/>
      <c r="G174" s="1844"/>
      <c r="H174" s="1844"/>
      <c r="I174" s="1844"/>
      <c r="J174" s="1844"/>
      <c r="K174" s="1861"/>
    </row>
    <row r="175" spans="1:11" ht="15.75" customHeight="1" x14ac:dyDescent="0.2">
      <c r="A175" s="2216" t="s">
        <v>1571</v>
      </c>
      <c r="B175" s="2217"/>
      <c r="C175" s="1862"/>
      <c r="D175" s="1862"/>
      <c r="E175" s="1855"/>
      <c r="F175" s="463"/>
      <c r="G175" s="463"/>
      <c r="H175" s="463"/>
      <c r="I175" s="463"/>
      <c r="J175" s="463"/>
      <c r="K175" s="463"/>
    </row>
    <row r="176" spans="1:11" ht="12.6" customHeight="1" x14ac:dyDescent="0.2">
      <c r="A176" s="479" t="s">
        <v>1103</v>
      </c>
      <c r="B176" s="478">
        <v>4001</v>
      </c>
      <c r="C176" s="1859">
        <v>0</v>
      </c>
      <c r="D176" s="1833">
        <v>0</v>
      </c>
      <c r="E176" s="462">
        <v>0</v>
      </c>
      <c r="F176" s="461">
        <v>0</v>
      </c>
      <c r="G176" s="461">
        <v>0</v>
      </c>
      <c r="H176" s="462">
        <v>0</v>
      </c>
      <c r="I176" s="462">
        <v>0</v>
      </c>
      <c r="J176" s="462">
        <v>0</v>
      </c>
      <c r="K176" s="462">
        <v>0</v>
      </c>
    </row>
    <row r="177" spans="1:11" ht="22.5" x14ac:dyDescent="0.2">
      <c r="A177" s="522" t="s">
        <v>837</v>
      </c>
      <c r="B177" s="529">
        <v>4009</v>
      </c>
      <c r="C177" s="1882">
        <v>0</v>
      </c>
      <c r="D177" s="461">
        <v>0</v>
      </c>
      <c r="E177" s="462">
        <v>0</v>
      </c>
      <c r="F177" s="461">
        <v>0</v>
      </c>
      <c r="G177" s="461">
        <v>0</v>
      </c>
      <c r="H177" s="462">
        <v>0</v>
      </c>
      <c r="I177" s="462">
        <v>0</v>
      </c>
      <c r="J177" s="462">
        <v>0</v>
      </c>
      <c r="K177" s="462">
        <v>0</v>
      </c>
    </row>
    <row r="178" spans="1:11" ht="13.5" thickBot="1" x14ac:dyDescent="0.25">
      <c r="A178" s="2220" t="s">
        <v>1763</v>
      </c>
      <c r="B178" s="2221"/>
      <c r="C178" s="1883">
        <f>SUM(C176:C177)</f>
        <v>0</v>
      </c>
      <c r="D178" s="1883">
        <f t="shared" ref="D178:K178" si="8">SUM(D176:D177)</f>
        <v>0</v>
      </c>
      <c r="E178" s="1883">
        <f t="shared" si="8"/>
        <v>0</v>
      </c>
      <c r="F178" s="1883">
        <f t="shared" si="8"/>
        <v>0</v>
      </c>
      <c r="G178" s="1883">
        <f t="shared" si="8"/>
        <v>0</v>
      </c>
      <c r="H178" s="1883">
        <f t="shared" si="8"/>
        <v>0</v>
      </c>
      <c r="I178" s="1883">
        <f t="shared" si="8"/>
        <v>0</v>
      </c>
      <c r="J178" s="1883">
        <f t="shared" si="8"/>
        <v>0</v>
      </c>
      <c r="K178" s="1851">
        <f t="shared" si="8"/>
        <v>0</v>
      </c>
    </row>
    <row r="179" spans="1:11" s="453" customFormat="1" ht="15.75" customHeight="1" thickTop="1" x14ac:dyDescent="0.2">
      <c r="A179" s="2224" t="s">
        <v>1762</v>
      </c>
      <c r="B179" s="2225"/>
      <c r="C179" s="1904"/>
      <c r="D179" s="1894"/>
      <c r="E179" s="1890"/>
      <c r="F179" s="463"/>
      <c r="G179" s="463"/>
      <c r="H179" s="463"/>
      <c r="I179" s="463"/>
      <c r="J179" s="463"/>
      <c r="K179" s="463"/>
    </row>
    <row r="180" spans="1:11" ht="12.75" customHeight="1" x14ac:dyDescent="0.2">
      <c r="A180" s="459" t="s">
        <v>1104</v>
      </c>
      <c r="B180" s="465">
        <v>4045</v>
      </c>
      <c r="C180" s="1882">
        <v>0</v>
      </c>
      <c r="D180" s="463"/>
      <c r="E180" s="1890"/>
      <c r="F180" s="463"/>
      <c r="G180" s="463"/>
      <c r="H180" s="463"/>
      <c r="I180" s="463"/>
      <c r="J180" s="463"/>
      <c r="K180" s="463"/>
    </row>
    <row r="181" spans="1:11" ht="12.75" customHeight="1" x14ac:dyDescent="0.2">
      <c r="A181" s="459" t="s">
        <v>1105</v>
      </c>
      <c r="B181" s="465">
        <v>4050</v>
      </c>
      <c r="C181" s="1882">
        <v>0</v>
      </c>
      <c r="D181" s="462">
        <v>0</v>
      </c>
      <c r="E181" s="1890"/>
      <c r="F181" s="463"/>
      <c r="G181" s="463"/>
      <c r="H181" s="462">
        <v>0</v>
      </c>
      <c r="I181" s="463"/>
      <c r="J181" s="463"/>
      <c r="K181" s="463"/>
    </row>
    <row r="182" spans="1:11" ht="12.75" customHeight="1" x14ac:dyDescent="0.2">
      <c r="A182" s="459" t="s">
        <v>278</v>
      </c>
      <c r="B182" s="465">
        <v>4060</v>
      </c>
      <c r="C182" s="1859">
        <v>103241</v>
      </c>
      <c r="D182" s="461">
        <v>0</v>
      </c>
      <c r="E182" s="463"/>
      <c r="F182" s="461">
        <v>0</v>
      </c>
      <c r="G182" s="461">
        <v>0</v>
      </c>
      <c r="H182" s="461">
        <v>0</v>
      </c>
      <c r="I182" s="463"/>
      <c r="J182" s="463"/>
      <c r="K182" s="1863"/>
    </row>
    <row r="183" spans="1:11" ht="22.5" x14ac:dyDescent="0.2">
      <c r="A183" s="522" t="s">
        <v>818</v>
      </c>
      <c r="B183" s="529">
        <v>4090</v>
      </c>
      <c r="C183" s="1882">
        <v>0</v>
      </c>
      <c r="D183" s="461">
        <v>0</v>
      </c>
      <c r="E183" s="463"/>
      <c r="F183" s="461">
        <v>0</v>
      </c>
      <c r="G183" s="461">
        <v>0</v>
      </c>
      <c r="H183" s="461">
        <v>0</v>
      </c>
      <c r="I183" s="463"/>
      <c r="J183" s="463"/>
      <c r="K183" s="461">
        <v>0</v>
      </c>
    </row>
    <row r="184" spans="1:11" ht="13.5" thickBot="1" x14ac:dyDescent="0.25">
      <c r="A184" s="2222" t="s">
        <v>817</v>
      </c>
      <c r="B184" s="2223"/>
      <c r="C184" s="1883">
        <f>SUM(C180:C183)</f>
        <v>103241</v>
      </c>
      <c r="D184" s="1883">
        <f>SUM(D180:D183)</f>
        <v>0</v>
      </c>
      <c r="E184" s="463"/>
      <c r="F184" s="1883">
        <f>SUM(F180:F183)</f>
        <v>0</v>
      </c>
      <c r="G184" s="1883">
        <f>SUM(G180:G183)</f>
        <v>0</v>
      </c>
      <c r="H184" s="1883">
        <f>SUM(H180:H183)</f>
        <v>0</v>
      </c>
      <c r="I184" s="463"/>
      <c r="J184" s="463"/>
      <c r="K184" s="1851">
        <f>SUM(K180:K183)</f>
        <v>0</v>
      </c>
    </row>
    <row r="185" spans="1:11" ht="22.5" customHeight="1" thickTop="1" x14ac:dyDescent="0.2">
      <c r="A185" s="2218" t="s">
        <v>1902</v>
      </c>
      <c r="B185" s="2219"/>
      <c r="C185" s="1905"/>
      <c r="D185" s="1894"/>
      <c r="E185" s="1855"/>
      <c r="F185" s="1894"/>
      <c r="G185" s="1894"/>
      <c r="H185" s="463"/>
      <c r="I185" s="463"/>
      <c r="J185" s="463"/>
      <c r="K185" s="463"/>
    </row>
    <row r="186" spans="1:11" ht="15.75" customHeight="1" x14ac:dyDescent="0.2">
      <c r="A186" s="1521" t="s">
        <v>1691</v>
      </c>
      <c r="B186" s="1522"/>
      <c r="C186" s="1866"/>
      <c r="D186" s="1863"/>
      <c r="E186" s="1855"/>
      <c r="F186" s="1863"/>
      <c r="G186" s="1863"/>
      <c r="H186" s="463"/>
      <c r="I186" s="463"/>
      <c r="J186" s="463"/>
      <c r="K186" s="463"/>
    </row>
    <row r="187" spans="1:11" ht="12.75" customHeight="1" x14ac:dyDescent="0.2">
      <c r="A187" s="459" t="s">
        <v>1692</v>
      </c>
      <c r="B187" s="465">
        <v>4100</v>
      </c>
      <c r="C187" s="1859">
        <v>0</v>
      </c>
      <c r="D187" s="1833">
        <v>0</v>
      </c>
      <c r="E187" s="1890"/>
      <c r="F187" s="1833">
        <v>0</v>
      </c>
      <c r="G187" s="1833">
        <v>0</v>
      </c>
      <c r="H187" s="463"/>
      <c r="I187" s="463"/>
      <c r="J187" s="463"/>
      <c r="K187" s="463"/>
    </row>
    <row r="188" spans="1:11" ht="12.75" customHeight="1" x14ac:dyDescent="0.2">
      <c r="A188" s="459" t="s">
        <v>1693</v>
      </c>
      <c r="B188" s="465">
        <v>4105</v>
      </c>
      <c r="C188" s="1882">
        <v>0</v>
      </c>
      <c r="D188" s="461">
        <v>0</v>
      </c>
      <c r="E188" s="1890"/>
      <c r="F188" s="461">
        <v>0</v>
      </c>
      <c r="G188" s="461">
        <v>0</v>
      </c>
      <c r="H188" s="463"/>
      <c r="I188" s="463"/>
      <c r="J188" s="463"/>
      <c r="K188" s="463"/>
    </row>
    <row r="189" spans="1:11" ht="12.75" customHeight="1" x14ac:dyDescent="0.2">
      <c r="A189" s="459" t="s">
        <v>1695</v>
      </c>
      <c r="B189" s="465">
        <v>4107</v>
      </c>
      <c r="C189" s="1882">
        <v>0</v>
      </c>
      <c r="D189" s="461">
        <v>0</v>
      </c>
      <c r="E189" s="1890"/>
      <c r="F189" s="461">
        <v>0</v>
      </c>
      <c r="G189" s="461">
        <v>0</v>
      </c>
      <c r="H189" s="463"/>
      <c r="I189" s="463"/>
      <c r="J189" s="463"/>
      <c r="K189" s="463"/>
    </row>
    <row r="190" spans="1:11" ht="12.75" customHeight="1" x14ac:dyDescent="0.2">
      <c r="A190" s="459" t="s">
        <v>1694</v>
      </c>
      <c r="B190" s="465">
        <v>4199</v>
      </c>
      <c r="C190" s="1882">
        <v>0</v>
      </c>
      <c r="D190" s="461">
        <v>0</v>
      </c>
      <c r="E190" s="1890"/>
      <c r="F190" s="461">
        <v>0</v>
      </c>
      <c r="G190" s="461">
        <v>0</v>
      </c>
      <c r="H190" s="463"/>
      <c r="I190" s="463"/>
      <c r="J190" s="463"/>
      <c r="K190" s="463"/>
    </row>
    <row r="191" spans="1:11" ht="12.75" customHeight="1" thickBot="1" x14ac:dyDescent="0.25">
      <c r="A191" s="1610" t="s">
        <v>1696</v>
      </c>
      <c r="B191" s="1611"/>
      <c r="C191" s="1883">
        <f>SUM(C187:C190)</f>
        <v>0</v>
      </c>
      <c r="D191" s="1883">
        <f>SUM(D187:D190)</f>
        <v>0</v>
      </c>
      <c r="E191" s="1890"/>
      <c r="F191" s="1883">
        <f>SUM(F187:F190)</f>
        <v>0</v>
      </c>
      <c r="G191" s="1883">
        <f>SUM(G187:G190)</f>
        <v>0</v>
      </c>
      <c r="H191" s="463"/>
      <c r="I191" s="463"/>
      <c r="J191" s="463"/>
      <c r="K191" s="463"/>
    </row>
    <row r="192" spans="1:11" ht="15.75" customHeight="1" thickTop="1" x14ac:dyDescent="0.2">
      <c r="A192" s="1518" t="s">
        <v>474</v>
      </c>
      <c r="B192" s="1523"/>
      <c r="C192" s="1884"/>
      <c r="D192" s="1894"/>
      <c r="E192" s="1890"/>
      <c r="F192" s="1884"/>
      <c r="G192" s="1884"/>
      <c r="H192" s="463"/>
      <c r="I192" s="463"/>
      <c r="J192" s="463"/>
      <c r="K192" s="463"/>
    </row>
    <row r="193" spans="1:11" x14ac:dyDescent="0.2">
      <c r="A193" s="459" t="s">
        <v>1524</v>
      </c>
      <c r="B193" s="465">
        <v>4200</v>
      </c>
      <c r="C193" s="462">
        <v>0</v>
      </c>
      <c r="D193" s="463"/>
      <c r="E193" s="1890"/>
      <c r="F193" s="1884"/>
      <c r="G193" s="530">
        <v>0</v>
      </c>
      <c r="H193" s="463"/>
      <c r="I193" s="463"/>
      <c r="J193" s="463"/>
      <c r="K193" s="463"/>
    </row>
    <row r="194" spans="1:11" ht="12.75" customHeight="1" x14ac:dyDescent="0.2">
      <c r="A194" s="459" t="s">
        <v>1117</v>
      </c>
      <c r="B194" s="465">
        <v>4210</v>
      </c>
      <c r="C194" s="461">
        <v>2542873</v>
      </c>
      <c r="D194" s="463"/>
      <c r="E194" s="1890"/>
      <c r="F194" s="463"/>
      <c r="G194" s="530">
        <v>0</v>
      </c>
      <c r="H194" s="463"/>
      <c r="I194" s="463"/>
      <c r="J194" s="463"/>
      <c r="K194" s="463"/>
    </row>
    <row r="195" spans="1:11" ht="12.75" customHeight="1" x14ac:dyDescent="0.2">
      <c r="A195" s="459" t="s">
        <v>1106</v>
      </c>
      <c r="B195" s="465">
        <v>4215</v>
      </c>
      <c r="C195" s="1882">
        <v>0</v>
      </c>
      <c r="D195" s="463"/>
      <c r="E195" s="1890"/>
      <c r="F195" s="463"/>
      <c r="G195" s="530">
        <v>0</v>
      </c>
      <c r="H195" s="463"/>
      <c r="I195" s="463"/>
      <c r="J195" s="463"/>
      <c r="K195" s="463"/>
    </row>
    <row r="196" spans="1:11" ht="12.75" customHeight="1" x14ac:dyDescent="0.2">
      <c r="A196" s="459" t="s">
        <v>1118</v>
      </c>
      <c r="B196" s="465">
        <v>4220</v>
      </c>
      <c r="C196" s="1882">
        <v>703119</v>
      </c>
      <c r="D196" s="463"/>
      <c r="E196" s="1890"/>
      <c r="F196" s="463"/>
      <c r="G196" s="530">
        <v>0</v>
      </c>
      <c r="H196" s="463"/>
      <c r="I196" s="463"/>
      <c r="J196" s="463"/>
      <c r="K196" s="463"/>
    </row>
    <row r="197" spans="1:11" ht="12.75" customHeight="1" x14ac:dyDescent="0.2">
      <c r="A197" s="459" t="s">
        <v>1525</v>
      </c>
      <c r="B197" s="465">
        <v>4225</v>
      </c>
      <c r="C197" s="1882">
        <v>102158</v>
      </c>
      <c r="D197" s="463"/>
      <c r="E197" s="1890"/>
      <c r="F197" s="463"/>
      <c r="G197" s="530">
        <v>0</v>
      </c>
      <c r="H197" s="463"/>
      <c r="I197" s="463"/>
      <c r="J197" s="463"/>
      <c r="K197" s="463"/>
    </row>
    <row r="198" spans="1:11" ht="12.75" customHeight="1" x14ac:dyDescent="0.2">
      <c r="A198" s="459" t="s">
        <v>1526</v>
      </c>
      <c r="B198" s="465">
        <v>4226</v>
      </c>
      <c r="C198" s="1882">
        <v>29914</v>
      </c>
      <c r="D198" s="463"/>
      <c r="E198" s="1890"/>
      <c r="F198" s="463"/>
      <c r="G198" s="530">
        <v>0</v>
      </c>
      <c r="H198" s="463"/>
      <c r="I198" s="463"/>
      <c r="J198" s="463"/>
      <c r="K198" s="463"/>
    </row>
    <row r="199" spans="1:11" ht="12.75" customHeight="1" x14ac:dyDescent="0.2">
      <c r="A199" s="459" t="s">
        <v>824</v>
      </c>
      <c r="B199" s="465">
        <v>4240</v>
      </c>
      <c r="C199" s="1838">
        <v>0</v>
      </c>
      <c r="D199" s="463"/>
      <c r="E199" s="1890"/>
      <c r="F199" s="463"/>
      <c r="G199" s="1906"/>
      <c r="H199" s="463"/>
      <c r="I199" s="463"/>
      <c r="J199" s="463"/>
      <c r="K199" s="463"/>
    </row>
    <row r="200" spans="1:11" ht="12.75" customHeight="1" x14ac:dyDescent="0.2">
      <c r="A200" s="459" t="s">
        <v>73</v>
      </c>
      <c r="B200" s="465">
        <v>4299</v>
      </c>
      <c r="C200" s="1882">
        <v>338639</v>
      </c>
      <c r="D200" s="463"/>
      <c r="E200" s="1890"/>
      <c r="F200" s="463"/>
      <c r="G200" s="530">
        <v>0</v>
      </c>
      <c r="H200" s="463"/>
      <c r="I200" s="463"/>
      <c r="J200" s="463"/>
      <c r="K200" s="463"/>
    </row>
    <row r="201" spans="1:11" ht="12.75" customHeight="1" thickBot="1" x14ac:dyDescent="0.25">
      <c r="A201" s="1610" t="s">
        <v>568</v>
      </c>
      <c r="B201" s="1611"/>
      <c r="C201" s="1851">
        <f>SUM(C193:C200)</f>
        <v>3716703</v>
      </c>
      <c r="D201" s="463"/>
      <c r="E201" s="463"/>
      <c r="F201" s="463"/>
      <c r="G201" s="1851">
        <f>SUM(G193:G200)</f>
        <v>0</v>
      </c>
      <c r="H201" s="463"/>
      <c r="I201" s="463"/>
      <c r="J201" s="463"/>
      <c r="K201" s="463"/>
    </row>
    <row r="202" spans="1:11" ht="15.75" customHeight="1" thickTop="1" x14ac:dyDescent="0.2">
      <c r="A202" s="1518" t="s">
        <v>1199</v>
      </c>
      <c r="B202" s="1523"/>
      <c r="C202" s="1884"/>
      <c r="D202" s="463"/>
      <c r="E202" s="463"/>
      <c r="F202" s="463"/>
      <c r="G202" s="463"/>
      <c r="H202" s="463"/>
      <c r="I202" s="463"/>
      <c r="J202" s="463"/>
      <c r="K202" s="463"/>
    </row>
    <row r="203" spans="1:11" ht="12.75" customHeight="1" x14ac:dyDescent="0.2">
      <c r="A203" s="459" t="s">
        <v>973</v>
      </c>
      <c r="B203" s="465">
        <v>4300</v>
      </c>
      <c r="C203" s="461">
        <v>3159926</v>
      </c>
      <c r="D203" s="461">
        <v>0</v>
      </c>
      <c r="E203" s="463"/>
      <c r="F203" s="461">
        <v>0</v>
      </c>
      <c r="G203" s="461">
        <v>0</v>
      </c>
      <c r="H203" s="463"/>
      <c r="I203" s="463"/>
      <c r="J203" s="463"/>
      <c r="K203" s="463"/>
    </row>
    <row r="204" spans="1:11" ht="12.75" customHeight="1" x14ac:dyDescent="0.2">
      <c r="A204" s="459" t="s">
        <v>974</v>
      </c>
      <c r="B204" s="465">
        <v>4305</v>
      </c>
      <c r="C204" s="1882">
        <v>0</v>
      </c>
      <c r="D204" s="461">
        <v>0</v>
      </c>
      <c r="E204" s="463"/>
      <c r="F204" s="461">
        <v>0</v>
      </c>
      <c r="G204" s="461">
        <v>0</v>
      </c>
      <c r="H204" s="463"/>
      <c r="I204" s="463"/>
      <c r="J204" s="463"/>
      <c r="K204" s="463"/>
    </row>
    <row r="205" spans="1:11" ht="12.75" customHeight="1" x14ac:dyDescent="0.2">
      <c r="A205" s="459" t="s">
        <v>975</v>
      </c>
      <c r="B205" s="465">
        <v>4332</v>
      </c>
      <c r="C205" s="1882">
        <v>0</v>
      </c>
      <c r="D205" s="461">
        <v>0</v>
      </c>
      <c r="E205" s="463"/>
      <c r="F205" s="461">
        <v>0</v>
      </c>
      <c r="G205" s="461">
        <v>0</v>
      </c>
      <c r="H205" s="463"/>
      <c r="I205" s="463"/>
      <c r="J205" s="463"/>
      <c r="K205" s="463"/>
    </row>
    <row r="206" spans="1:11" ht="12.75" customHeight="1" x14ac:dyDescent="0.2">
      <c r="A206" s="459" t="s">
        <v>1088</v>
      </c>
      <c r="B206" s="465">
        <v>4334</v>
      </c>
      <c r="C206" s="1882">
        <v>0</v>
      </c>
      <c r="D206" s="461">
        <v>0</v>
      </c>
      <c r="E206" s="463"/>
      <c r="F206" s="461">
        <v>0</v>
      </c>
      <c r="G206" s="461">
        <v>0</v>
      </c>
      <c r="H206" s="463"/>
      <c r="I206" s="463"/>
      <c r="J206" s="463"/>
      <c r="K206" s="463"/>
    </row>
    <row r="207" spans="1:11" ht="12.75" customHeight="1" x14ac:dyDescent="0.2">
      <c r="A207" s="459" t="s">
        <v>1089</v>
      </c>
      <c r="B207" s="465">
        <v>4335</v>
      </c>
      <c r="C207" s="1882">
        <v>0</v>
      </c>
      <c r="D207" s="461">
        <v>0</v>
      </c>
      <c r="E207" s="463"/>
      <c r="F207" s="461">
        <v>0</v>
      </c>
      <c r="G207" s="461">
        <v>0</v>
      </c>
      <c r="H207" s="463"/>
      <c r="I207" s="463"/>
      <c r="J207" s="463"/>
      <c r="K207" s="463"/>
    </row>
    <row r="208" spans="1:11" ht="12.75" customHeight="1" x14ac:dyDescent="0.2">
      <c r="A208" s="459" t="s">
        <v>1152</v>
      </c>
      <c r="B208" s="465">
        <v>4337</v>
      </c>
      <c r="C208" s="1838">
        <v>0</v>
      </c>
      <c r="D208" s="462">
        <v>0</v>
      </c>
      <c r="E208" s="463"/>
      <c r="F208" s="462">
        <v>0</v>
      </c>
      <c r="G208" s="462">
        <v>0</v>
      </c>
      <c r="H208" s="463"/>
      <c r="I208" s="463"/>
      <c r="J208" s="463"/>
      <c r="K208" s="463"/>
    </row>
    <row r="209" spans="1:11" ht="12.75" customHeight="1" x14ac:dyDescent="0.2">
      <c r="A209" s="459" t="s">
        <v>1090</v>
      </c>
      <c r="B209" s="465">
        <v>4340</v>
      </c>
      <c r="C209" s="1882">
        <v>0</v>
      </c>
      <c r="D209" s="461">
        <v>0</v>
      </c>
      <c r="E209" s="463"/>
      <c r="F209" s="461">
        <v>0</v>
      </c>
      <c r="G209" s="461">
        <v>0</v>
      </c>
      <c r="H209" s="463"/>
      <c r="I209" s="463"/>
      <c r="J209" s="463"/>
      <c r="K209" s="463"/>
    </row>
    <row r="210" spans="1:11" ht="12.75" customHeight="1" x14ac:dyDescent="0.2">
      <c r="A210" s="459" t="s">
        <v>74</v>
      </c>
      <c r="B210" s="465">
        <v>4399</v>
      </c>
      <c r="C210" s="1882">
        <v>0</v>
      </c>
      <c r="D210" s="461">
        <v>0</v>
      </c>
      <c r="E210" s="463"/>
      <c r="F210" s="461">
        <v>0</v>
      </c>
      <c r="G210" s="461">
        <v>0</v>
      </c>
      <c r="H210" s="463"/>
      <c r="I210" s="463"/>
      <c r="J210" s="463"/>
      <c r="K210" s="463"/>
    </row>
    <row r="211" spans="1:11" ht="12.75" customHeight="1" thickBot="1" x14ac:dyDescent="0.25">
      <c r="A211" s="1610" t="s">
        <v>419</v>
      </c>
      <c r="B211" s="1611"/>
      <c r="C211" s="1883">
        <f>SUM(C203:C210)</f>
        <v>3159926</v>
      </c>
      <c r="D211" s="1883">
        <f>SUM(D203:D210)</f>
        <v>0</v>
      </c>
      <c r="E211" s="463"/>
      <c r="F211" s="1883">
        <f>SUM(F203:F210)</f>
        <v>0</v>
      </c>
      <c r="G211" s="1883">
        <f>SUM(G203:G210)</f>
        <v>0</v>
      </c>
      <c r="H211" s="463"/>
      <c r="I211" s="463"/>
      <c r="J211" s="463"/>
      <c r="K211" s="463"/>
    </row>
    <row r="212" spans="1:11" ht="15.75" customHeight="1" thickTop="1" x14ac:dyDescent="0.2">
      <c r="A212" s="1518" t="s">
        <v>1200</v>
      </c>
      <c r="B212" s="1523"/>
      <c r="C212" s="1884"/>
      <c r="D212" s="1884"/>
      <c r="E212" s="463"/>
      <c r="F212" s="1884"/>
      <c r="G212" s="1884"/>
      <c r="H212" s="463"/>
      <c r="I212" s="463"/>
      <c r="J212" s="463"/>
      <c r="K212" s="463"/>
    </row>
    <row r="213" spans="1:11" ht="12.75" customHeight="1" x14ac:dyDescent="0.2">
      <c r="A213" s="459" t="s">
        <v>782</v>
      </c>
      <c r="B213" s="465">
        <v>4400</v>
      </c>
      <c r="C213" s="1882">
        <v>0</v>
      </c>
      <c r="D213" s="461">
        <v>0</v>
      </c>
      <c r="E213" s="463"/>
      <c r="F213" s="461">
        <v>0</v>
      </c>
      <c r="G213" s="461">
        <v>0</v>
      </c>
      <c r="H213" s="463"/>
      <c r="I213" s="463"/>
      <c r="J213" s="463"/>
      <c r="K213" s="463"/>
    </row>
    <row r="214" spans="1:11" ht="12.75" customHeight="1" x14ac:dyDescent="0.2">
      <c r="A214" s="459" t="s">
        <v>1527</v>
      </c>
      <c r="B214" s="465">
        <v>4421</v>
      </c>
      <c r="C214" s="1882">
        <v>0</v>
      </c>
      <c r="D214" s="461">
        <v>0</v>
      </c>
      <c r="E214" s="463"/>
      <c r="F214" s="461">
        <v>0</v>
      </c>
      <c r="G214" s="461">
        <v>0</v>
      </c>
      <c r="H214" s="463"/>
      <c r="I214" s="463"/>
      <c r="J214" s="463"/>
      <c r="K214" s="463"/>
    </row>
    <row r="215" spans="1:11" ht="12.75" customHeight="1" x14ac:dyDescent="0.2">
      <c r="A215" s="459" t="s">
        <v>75</v>
      </c>
      <c r="B215" s="465">
        <v>4499</v>
      </c>
      <c r="C215" s="1882">
        <v>0</v>
      </c>
      <c r="D215" s="461">
        <v>0</v>
      </c>
      <c r="E215" s="463"/>
      <c r="F215" s="461">
        <v>0</v>
      </c>
      <c r="G215" s="461">
        <v>0</v>
      </c>
      <c r="H215" s="463"/>
      <c r="I215" s="463"/>
      <c r="J215" s="463"/>
      <c r="K215" s="463"/>
    </row>
    <row r="216" spans="1:11" ht="12.75" customHeight="1" thickBot="1" x14ac:dyDescent="0.25">
      <c r="A216" s="1610" t="s">
        <v>943</v>
      </c>
      <c r="B216" s="1611"/>
      <c r="C216" s="1883">
        <f>SUM(C213:C215)</f>
        <v>0</v>
      </c>
      <c r="D216" s="1883">
        <f>SUM(D213:D215)</f>
        <v>0</v>
      </c>
      <c r="E216" s="463" t="s">
        <v>1230</v>
      </c>
      <c r="F216" s="1883">
        <f>SUM(F213:F215)</f>
        <v>0</v>
      </c>
      <c r="G216" s="1883">
        <f>SUM(G213:G215)</f>
        <v>0</v>
      </c>
      <c r="H216" s="463"/>
      <c r="I216" s="463"/>
      <c r="J216" s="463"/>
      <c r="K216" s="463"/>
    </row>
    <row r="217" spans="1:11" ht="15.75" customHeight="1" thickTop="1" x14ac:dyDescent="0.2">
      <c r="A217" s="1518" t="s">
        <v>1153</v>
      </c>
      <c r="B217" s="1523"/>
      <c r="C217" s="1884"/>
      <c r="D217" s="1884"/>
      <c r="E217" s="463"/>
      <c r="F217" s="1884"/>
      <c r="G217" s="1884"/>
      <c r="H217" s="463"/>
      <c r="I217" s="463"/>
      <c r="J217" s="463"/>
      <c r="K217" s="463"/>
    </row>
    <row r="218" spans="1:11" ht="12.75" customHeight="1" x14ac:dyDescent="0.2">
      <c r="A218" s="459" t="s">
        <v>1111</v>
      </c>
      <c r="B218" s="465">
        <v>4600</v>
      </c>
      <c r="C218" s="1882">
        <v>100773</v>
      </c>
      <c r="D218" s="461">
        <v>0</v>
      </c>
      <c r="E218" s="463"/>
      <c r="F218" s="461">
        <v>0</v>
      </c>
      <c r="G218" s="461">
        <v>0</v>
      </c>
      <c r="H218" s="463"/>
      <c r="I218" s="463"/>
      <c r="J218" s="463"/>
      <c r="K218" s="463"/>
    </row>
    <row r="219" spans="1:11" ht="12.75" customHeight="1" x14ac:dyDescent="0.2">
      <c r="A219" s="459" t="s">
        <v>1112</v>
      </c>
      <c r="B219" s="465">
        <v>4605</v>
      </c>
      <c r="C219" s="1882">
        <v>0</v>
      </c>
      <c r="D219" s="461">
        <v>0</v>
      </c>
      <c r="E219" s="463"/>
      <c r="F219" s="461">
        <v>0</v>
      </c>
      <c r="G219" s="461">
        <v>0</v>
      </c>
      <c r="H219" s="463"/>
      <c r="I219" s="463"/>
      <c r="J219" s="463"/>
      <c r="K219" s="463"/>
    </row>
    <row r="220" spans="1:11" ht="12.75" customHeight="1" x14ac:dyDescent="0.2">
      <c r="A220" s="459" t="s">
        <v>1528</v>
      </c>
      <c r="B220" s="518">
        <v>4620</v>
      </c>
      <c r="C220" s="1882">
        <v>2422268</v>
      </c>
      <c r="D220" s="461">
        <v>0</v>
      </c>
      <c r="E220" s="463"/>
      <c r="F220" s="461">
        <v>0</v>
      </c>
      <c r="G220" s="461">
        <v>0</v>
      </c>
      <c r="H220" s="463"/>
      <c r="I220" s="463"/>
      <c r="J220" s="463"/>
      <c r="K220" s="463"/>
    </row>
    <row r="221" spans="1:11" ht="12.75" customHeight="1" x14ac:dyDescent="0.2">
      <c r="A221" s="459" t="s">
        <v>1113</v>
      </c>
      <c r="B221" s="465">
        <v>4625</v>
      </c>
      <c r="C221" s="1882">
        <v>566900</v>
      </c>
      <c r="D221" s="461">
        <v>0</v>
      </c>
      <c r="E221" s="463"/>
      <c r="F221" s="461">
        <v>0</v>
      </c>
      <c r="G221" s="461">
        <v>0</v>
      </c>
      <c r="H221" s="463"/>
      <c r="I221" s="463"/>
      <c r="J221" s="463"/>
      <c r="K221" s="463"/>
    </row>
    <row r="222" spans="1:11" ht="12.75" customHeight="1" x14ac:dyDescent="0.2">
      <c r="A222" s="459" t="s">
        <v>1114</v>
      </c>
      <c r="B222" s="465">
        <v>4630</v>
      </c>
      <c r="C222" s="1882">
        <v>0</v>
      </c>
      <c r="D222" s="461">
        <v>0</v>
      </c>
      <c r="E222" s="463"/>
      <c r="F222" s="461">
        <v>0</v>
      </c>
      <c r="G222" s="461">
        <v>0</v>
      </c>
      <c r="H222" s="463"/>
      <c r="I222" s="463"/>
      <c r="J222" s="463"/>
      <c r="K222" s="463"/>
    </row>
    <row r="223" spans="1:11" ht="12.75" customHeight="1" x14ac:dyDescent="0.2">
      <c r="A223" s="1428" t="s">
        <v>76</v>
      </c>
      <c r="B223" s="518">
        <v>4699</v>
      </c>
      <c r="C223" s="1882">
        <v>0</v>
      </c>
      <c r="D223" s="461">
        <v>0</v>
      </c>
      <c r="E223" s="463"/>
      <c r="F223" s="461">
        <v>0</v>
      </c>
      <c r="G223" s="461">
        <v>0</v>
      </c>
      <c r="H223" s="463"/>
      <c r="I223" s="463"/>
      <c r="J223" s="463"/>
      <c r="K223" s="463"/>
    </row>
    <row r="224" spans="1:11" ht="12.75" customHeight="1" thickBot="1" x14ac:dyDescent="0.25">
      <c r="A224" s="1610" t="s">
        <v>466</v>
      </c>
      <c r="B224" s="1611"/>
      <c r="C224" s="1883">
        <f>SUM(C218:C223)</f>
        <v>3089941</v>
      </c>
      <c r="D224" s="1883">
        <f>SUM(D218:D223)</f>
        <v>0</v>
      </c>
      <c r="E224" s="463"/>
      <c r="F224" s="1883">
        <f>SUM(F218:F223)</f>
        <v>0</v>
      </c>
      <c r="G224" s="1883">
        <f>SUM(G218:G223)</f>
        <v>0</v>
      </c>
      <c r="H224" s="463"/>
      <c r="I224" s="463"/>
      <c r="J224" s="463"/>
      <c r="K224" s="463"/>
    </row>
    <row r="225" spans="1:11" ht="15.75" customHeight="1" thickTop="1" x14ac:dyDescent="0.2">
      <c r="A225" s="1518" t="s">
        <v>1154</v>
      </c>
      <c r="B225" s="1523"/>
      <c r="C225" s="1884"/>
      <c r="D225" s="1884"/>
      <c r="E225" s="463"/>
      <c r="F225" s="1884"/>
      <c r="G225" s="1884"/>
      <c r="H225" s="463"/>
      <c r="I225" s="463"/>
      <c r="J225" s="463"/>
      <c r="K225" s="463"/>
    </row>
    <row r="226" spans="1:11" ht="12.75" customHeight="1" x14ac:dyDescent="0.2">
      <c r="A226" s="459" t="s">
        <v>819</v>
      </c>
      <c r="B226" s="465">
        <v>4770</v>
      </c>
      <c r="C226" s="1882">
        <v>0</v>
      </c>
      <c r="D226" s="461">
        <v>0</v>
      </c>
      <c r="E226" s="463"/>
      <c r="F226" s="463"/>
      <c r="G226" s="461">
        <v>0</v>
      </c>
      <c r="H226" s="463"/>
      <c r="I226" s="463"/>
      <c r="J226" s="463"/>
      <c r="K226" s="463"/>
    </row>
    <row r="227" spans="1:11" ht="12.75" customHeight="1" x14ac:dyDescent="0.2">
      <c r="A227" s="459" t="s">
        <v>69</v>
      </c>
      <c r="B227" s="465">
        <v>4799</v>
      </c>
      <c r="C227" s="1882">
        <v>0</v>
      </c>
      <c r="D227" s="461">
        <v>0</v>
      </c>
      <c r="E227" s="463"/>
      <c r="F227" s="463"/>
      <c r="G227" s="461">
        <v>0</v>
      </c>
      <c r="H227" s="463"/>
      <c r="I227" s="463"/>
      <c r="J227" s="463"/>
      <c r="K227" s="463"/>
    </row>
    <row r="228" spans="1:11" ht="12.75" customHeight="1" thickBot="1" x14ac:dyDescent="0.25">
      <c r="A228" s="1619" t="s">
        <v>1144</v>
      </c>
      <c r="B228" s="1620"/>
      <c r="C228" s="1883">
        <f>SUM(C226:C227)</f>
        <v>0</v>
      </c>
      <c r="D228" s="1883">
        <f>SUM(D226:D227)</f>
        <v>0</v>
      </c>
      <c r="E228" s="463"/>
      <c r="F228" s="463"/>
      <c r="G228" s="1883">
        <f>SUM(G226:G227)</f>
        <v>0</v>
      </c>
      <c r="H228" s="463"/>
      <c r="I228" s="463"/>
      <c r="J228" s="463"/>
      <c r="K228" s="463"/>
    </row>
    <row r="229" spans="1:11" ht="12.75" customHeight="1" thickTop="1" thickBot="1" x14ac:dyDescent="0.25">
      <c r="A229" s="479" t="s">
        <v>780</v>
      </c>
      <c r="B229" s="478">
        <v>4810</v>
      </c>
      <c r="C229" s="1898">
        <v>0</v>
      </c>
      <c r="D229" s="1875">
        <v>0</v>
      </c>
      <c r="E229" s="463"/>
      <c r="F229" s="463"/>
      <c r="G229" s="1875">
        <v>0</v>
      </c>
      <c r="H229" s="463"/>
      <c r="I229" s="463"/>
      <c r="J229" s="463"/>
      <c r="K229" s="463"/>
    </row>
    <row r="230" spans="1:11" ht="12.75" customHeight="1" thickTop="1" x14ac:dyDescent="0.2">
      <c r="A230" s="479" t="s">
        <v>367</v>
      </c>
      <c r="B230" s="478">
        <v>4850</v>
      </c>
      <c r="C230" s="1838">
        <v>0</v>
      </c>
      <c r="D230" s="462">
        <v>0</v>
      </c>
      <c r="E230" s="462">
        <v>0</v>
      </c>
      <c r="F230" s="462">
        <v>0</v>
      </c>
      <c r="G230" s="462">
        <v>0</v>
      </c>
      <c r="H230" s="462">
        <v>0</v>
      </c>
      <c r="I230" s="463"/>
      <c r="J230" s="462">
        <v>0</v>
      </c>
      <c r="K230" s="462">
        <v>0</v>
      </c>
    </row>
    <row r="231" spans="1:11" ht="12.75" customHeight="1" x14ac:dyDescent="0.2">
      <c r="A231" s="479" t="s">
        <v>368</v>
      </c>
      <c r="B231" s="478">
        <v>4851</v>
      </c>
      <c r="C231" s="1838">
        <v>0</v>
      </c>
      <c r="D231" s="462">
        <v>0</v>
      </c>
      <c r="E231" s="463"/>
      <c r="F231" s="1829">
        <v>0</v>
      </c>
      <c r="G231" s="462">
        <v>0</v>
      </c>
      <c r="H231" s="463"/>
      <c r="I231" s="463"/>
      <c r="J231" s="463"/>
      <c r="K231" s="463"/>
    </row>
    <row r="232" spans="1:11" ht="12.75" customHeight="1" x14ac:dyDescent="0.2">
      <c r="A232" s="479" t="s">
        <v>369</v>
      </c>
      <c r="B232" s="478">
        <v>4852</v>
      </c>
      <c r="C232" s="1838">
        <v>0</v>
      </c>
      <c r="D232" s="462">
        <v>0</v>
      </c>
      <c r="E232" s="462">
        <v>0</v>
      </c>
      <c r="F232" s="462">
        <v>0</v>
      </c>
      <c r="G232" s="462">
        <v>0</v>
      </c>
      <c r="H232" s="462">
        <v>0</v>
      </c>
      <c r="I232" s="463"/>
      <c r="J232" s="462">
        <v>0</v>
      </c>
      <c r="K232" s="462">
        <v>0</v>
      </c>
    </row>
    <row r="233" spans="1:11" ht="12.75" customHeight="1" x14ac:dyDescent="0.2">
      <c r="A233" s="479" t="s">
        <v>370</v>
      </c>
      <c r="B233" s="478">
        <v>4853</v>
      </c>
      <c r="C233" s="1838">
        <v>0</v>
      </c>
      <c r="D233" s="462">
        <v>0</v>
      </c>
      <c r="E233" s="462">
        <v>0</v>
      </c>
      <c r="F233" s="462">
        <v>0</v>
      </c>
      <c r="G233" s="462">
        <v>0</v>
      </c>
      <c r="H233" s="462">
        <v>0</v>
      </c>
      <c r="I233" s="463"/>
      <c r="J233" s="462">
        <v>0</v>
      </c>
      <c r="K233" s="462">
        <v>0</v>
      </c>
    </row>
    <row r="234" spans="1:11" ht="12.75" customHeight="1" x14ac:dyDescent="0.2">
      <c r="A234" s="479" t="s">
        <v>371</v>
      </c>
      <c r="B234" s="478">
        <v>4854</v>
      </c>
      <c r="C234" s="1838">
        <v>0</v>
      </c>
      <c r="D234" s="462">
        <v>0</v>
      </c>
      <c r="E234" s="462">
        <v>0</v>
      </c>
      <c r="F234" s="462">
        <v>0</v>
      </c>
      <c r="G234" s="462">
        <v>0</v>
      </c>
      <c r="H234" s="462">
        <v>0</v>
      </c>
      <c r="I234" s="463"/>
      <c r="J234" s="462">
        <v>0</v>
      </c>
      <c r="K234" s="462">
        <v>0</v>
      </c>
    </row>
    <row r="235" spans="1:11" ht="12.75" customHeight="1" x14ac:dyDescent="0.2">
      <c r="A235" s="479" t="s">
        <v>483</v>
      </c>
      <c r="B235" s="478">
        <v>4855</v>
      </c>
      <c r="C235" s="1838">
        <v>0</v>
      </c>
      <c r="D235" s="462">
        <v>0</v>
      </c>
      <c r="E235" s="462">
        <v>0</v>
      </c>
      <c r="F235" s="462">
        <v>0</v>
      </c>
      <c r="G235" s="462">
        <v>0</v>
      </c>
      <c r="H235" s="462">
        <v>0</v>
      </c>
      <c r="I235" s="463"/>
      <c r="J235" s="462">
        <v>0</v>
      </c>
      <c r="K235" s="462">
        <v>0</v>
      </c>
    </row>
    <row r="236" spans="1:11" ht="12.75" customHeight="1" x14ac:dyDescent="0.2">
      <c r="A236" s="479" t="s">
        <v>372</v>
      </c>
      <c r="B236" s="478">
        <v>4856</v>
      </c>
      <c r="C236" s="1838">
        <v>0</v>
      </c>
      <c r="D236" s="462">
        <v>0</v>
      </c>
      <c r="E236" s="462">
        <v>0</v>
      </c>
      <c r="F236" s="462">
        <v>0</v>
      </c>
      <c r="G236" s="462">
        <v>0</v>
      </c>
      <c r="H236" s="462">
        <v>0</v>
      </c>
      <c r="I236" s="463"/>
      <c r="J236" s="462">
        <v>0</v>
      </c>
      <c r="K236" s="462">
        <v>0</v>
      </c>
    </row>
    <row r="237" spans="1:11" ht="12.75" customHeight="1" x14ac:dyDescent="0.2">
      <c r="A237" s="479" t="s">
        <v>373</v>
      </c>
      <c r="B237" s="478">
        <v>4857</v>
      </c>
      <c r="C237" s="1838">
        <v>0</v>
      </c>
      <c r="D237" s="462">
        <v>0</v>
      </c>
      <c r="E237" s="462">
        <v>0</v>
      </c>
      <c r="F237" s="462">
        <v>0</v>
      </c>
      <c r="G237" s="462">
        <v>0</v>
      </c>
      <c r="H237" s="462">
        <v>0</v>
      </c>
      <c r="I237" s="463"/>
      <c r="J237" s="462">
        <v>0</v>
      </c>
      <c r="K237" s="462">
        <v>0</v>
      </c>
    </row>
    <row r="238" spans="1:11" ht="12.75" customHeight="1" x14ac:dyDescent="0.2">
      <c r="A238" s="479" t="s">
        <v>374</v>
      </c>
      <c r="B238" s="478">
        <v>4860</v>
      </c>
      <c r="C238" s="1838">
        <v>0</v>
      </c>
      <c r="D238" s="462">
        <v>0</v>
      </c>
      <c r="E238" s="462">
        <v>0</v>
      </c>
      <c r="F238" s="462">
        <v>0</v>
      </c>
      <c r="G238" s="462">
        <v>0</v>
      </c>
      <c r="H238" s="462">
        <v>0</v>
      </c>
      <c r="I238" s="463"/>
      <c r="J238" s="462">
        <v>0</v>
      </c>
      <c r="K238" s="462">
        <v>0</v>
      </c>
    </row>
    <row r="239" spans="1:11" ht="12.75" customHeight="1" x14ac:dyDescent="0.2">
      <c r="A239" s="479" t="s">
        <v>375</v>
      </c>
      <c r="B239" s="478">
        <v>4861</v>
      </c>
      <c r="C239" s="1838">
        <v>0</v>
      </c>
      <c r="D239" s="462">
        <v>0</v>
      </c>
      <c r="E239" s="462">
        <v>0</v>
      </c>
      <c r="F239" s="462">
        <v>0</v>
      </c>
      <c r="G239" s="462">
        <v>0</v>
      </c>
      <c r="H239" s="462">
        <v>0</v>
      </c>
      <c r="I239" s="463"/>
      <c r="J239" s="462">
        <v>0</v>
      </c>
      <c r="K239" s="462">
        <v>0</v>
      </c>
    </row>
    <row r="240" spans="1:11" ht="12.75" customHeight="1" x14ac:dyDescent="0.2">
      <c r="A240" s="479" t="s">
        <v>376</v>
      </c>
      <c r="B240" s="478">
        <v>4862</v>
      </c>
      <c r="C240" s="1838">
        <v>0</v>
      </c>
      <c r="D240" s="462">
        <v>0</v>
      </c>
      <c r="E240" s="468"/>
      <c r="F240" s="462">
        <v>0</v>
      </c>
      <c r="G240" s="462">
        <v>0</v>
      </c>
      <c r="H240" s="468"/>
      <c r="I240" s="463"/>
      <c r="J240" s="468"/>
      <c r="K240" s="468"/>
    </row>
    <row r="241" spans="1:11" ht="12.75" customHeight="1" x14ac:dyDescent="0.2">
      <c r="A241" s="479" t="s">
        <v>377</v>
      </c>
      <c r="B241" s="478">
        <v>4863</v>
      </c>
      <c r="C241" s="1838">
        <v>0</v>
      </c>
      <c r="D241" s="462">
        <v>0</v>
      </c>
      <c r="E241" s="463"/>
      <c r="F241" s="468"/>
      <c r="G241" s="1870"/>
      <c r="H241" s="463"/>
      <c r="I241" s="463"/>
      <c r="J241" s="463"/>
      <c r="K241" s="463"/>
    </row>
    <row r="242" spans="1:11" ht="12.75" customHeight="1" x14ac:dyDescent="0.2">
      <c r="A242" s="479" t="s">
        <v>488</v>
      </c>
      <c r="B242" s="478">
        <v>4864</v>
      </c>
      <c r="C242" s="1838">
        <v>0</v>
      </c>
      <c r="D242" s="462">
        <v>0</v>
      </c>
      <c r="E242" s="462">
        <v>0</v>
      </c>
      <c r="F242" s="462">
        <v>0</v>
      </c>
      <c r="G242" s="462">
        <v>0</v>
      </c>
      <c r="H242" s="462">
        <v>0</v>
      </c>
      <c r="I242" s="463"/>
      <c r="J242" s="462">
        <v>0</v>
      </c>
      <c r="K242" s="462">
        <v>0</v>
      </c>
    </row>
    <row r="243" spans="1:11" ht="12.75" customHeight="1" x14ac:dyDescent="0.2">
      <c r="A243" s="479" t="s">
        <v>489</v>
      </c>
      <c r="B243" s="478">
        <v>4865</v>
      </c>
      <c r="C243" s="1838">
        <v>0</v>
      </c>
      <c r="D243" s="462">
        <v>0</v>
      </c>
      <c r="E243" s="462">
        <v>0</v>
      </c>
      <c r="F243" s="462">
        <v>0</v>
      </c>
      <c r="G243" s="462">
        <v>0</v>
      </c>
      <c r="H243" s="462">
        <v>0</v>
      </c>
      <c r="I243" s="463"/>
      <c r="J243" s="462">
        <v>0</v>
      </c>
      <c r="K243" s="462">
        <v>0</v>
      </c>
    </row>
    <row r="244" spans="1:11" ht="12.75" customHeight="1" x14ac:dyDescent="0.2">
      <c r="A244" s="479" t="s">
        <v>487</v>
      </c>
      <c r="B244" s="478">
        <v>4866</v>
      </c>
      <c r="C244" s="1838">
        <v>0</v>
      </c>
      <c r="D244" s="462">
        <v>0</v>
      </c>
      <c r="E244" s="462">
        <v>0</v>
      </c>
      <c r="F244" s="462">
        <v>0</v>
      </c>
      <c r="G244" s="462">
        <v>0</v>
      </c>
      <c r="H244" s="462">
        <v>0</v>
      </c>
      <c r="I244" s="463"/>
      <c r="J244" s="462">
        <v>0</v>
      </c>
      <c r="K244" s="462">
        <v>0</v>
      </c>
    </row>
    <row r="245" spans="1:11" ht="12.75" customHeight="1" x14ac:dyDescent="0.2">
      <c r="A245" s="479" t="s">
        <v>486</v>
      </c>
      <c r="B245" s="478">
        <v>4867</v>
      </c>
      <c r="C245" s="1838">
        <v>0</v>
      </c>
      <c r="D245" s="462">
        <v>0</v>
      </c>
      <c r="E245" s="462">
        <v>0</v>
      </c>
      <c r="F245" s="462">
        <v>0</v>
      </c>
      <c r="G245" s="462">
        <v>0</v>
      </c>
      <c r="H245" s="462">
        <v>0</v>
      </c>
      <c r="I245" s="463"/>
      <c r="J245" s="462">
        <v>0</v>
      </c>
      <c r="K245" s="462">
        <v>0</v>
      </c>
    </row>
    <row r="246" spans="1:11" ht="12.75" customHeight="1" x14ac:dyDescent="0.2">
      <c r="A246" s="479" t="s">
        <v>485</v>
      </c>
      <c r="B246" s="478">
        <v>4868</v>
      </c>
      <c r="C246" s="1838">
        <v>0</v>
      </c>
      <c r="D246" s="462">
        <v>0</v>
      </c>
      <c r="E246" s="462">
        <v>0</v>
      </c>
      <c r="F246" s="462">
        <v>0</v>
      </c>
      <c r="G246" s="462">
        <v>0</v>
      </c>
      <c r="H246" s="462">
        <v>0</v>
      </c>
      <c r="I246" s="463"/>
      <c r="J246" s="462">
        <v>0</v>
      </c>
      <c r="K246" s="462">
        <v>0</v>
      </c>
    </row>
    <row r="247" spans="1:11" ht="12.75" customHeight="1" x14ac:dyDescent="0.2">
      <c r="A247" s="479" t="s">
        <v>484</v>
      </c>
      <c r="B247" s="478">
        <v>4869</v>
      </c>
      <c r="C247" s="1838">
        <v>0</v>
      </c>
      <c r="D247" s="462">
        <v>0</v>
      </c>
      <c r="E247" s="462">
        <v>1415923</v>
      </c>
      <c r="F247" s="462">
        <v>0</v>
      </c>
      <c r="G247" s="462">
        <v>0</v>
      </c>
      <c r="H247" s="462">
        <v>0</v>
      </c>
      <c r="I247" s="463"/>
      <c r="J247" s="462">
        <v>0</v>
      </c>
      <c r="K247" s="462">
        <v>0</v>
      </c>
    </row>
    <row r="248" spans="1:11" ht="12.75" customHeight="1" x14ac:dyDescent="0.2">
      <c r="A248" s="479" t="s">
        <v>1189</v>
      </c>
      <c r="B248" s="478">
        <v>4870</v>
      </c>
      <c r="C248" s="1838">
        <v>0</v>
      </c>
      <c r="D248" s="462">
        <v>0</v>
      </c>
      <c r="E248" s="462">
        <v>0</v>
      </c>
      <c r="F248" s="462">
        <v>0</v>
      </c>
      <c r="G248" s="462">
        <v>0</v>
      </c>
      <c r="H248" s="462">
        <v>0</v>
      </c>
      <c r="I248" s="463"/>
      <c r="J248" s="462">
        <v>0</v>
      </c>
      <c r="K248" s="462">
        <v>0</v>
      </c>
    </row>
    <row r="249" spans="1:11" ht="12.75" customHeight="1" x14ac:dyDescent="0.2">
      <c r="A249" s="479" t="s">
        <v>820</v>
      </c>
      <c r="B249" s="478">
        <v>4871</v>
      </c>
      <c r="C249" s="1838">
        <v>0</v>
      </c>
      <c r="D249" s="462">
        <v>0</v>
      </c>
      <c r="E249" s="462">
        <v>0</v>
      </c>
      <c r="F249" s="462">
        <v>0</v>
      </c>
      <c r="G249" s="462">
        <v>0</v>
      </c>
      <c r="H249" s="462">
        <v>0</v>
      </c>
      <c r="I249" s="463"/>
      <c r="J249" s="462">
        <v>0</v>
      </c>
      <c r="K249" s="462">
        <v>0</v>
      </c>
    </row>
    <row r="250" spans="1:11" ht="12.75" customHeight="1" x14ac:dyDescent="0.2">
      <c r="A250" s="479" t="s">
        <v>821</v>
      </c>
      <c r="B250" s="478">
        <v>4872</v>
      </c>
      <c r="C250" s="1838">
        <v>0</v>
      </c>
      <c r="D250" s="462">
        <v>0</v>
      </c>
      <c r="E250" s="462">
        <v>0</v>
      </c>
      <c r="F250" s="462">
        <v>0</v>
      </c>
      <c r="G250" s="462">
        <v>0</v>
      </c>
      <c r="H250" s="462">
        <v>0</v>
      </c>
      <c r="I250" s="463"/>
      <c r="J250" s="462">
        <v>0</v>
      </c>
      <c r="K250" s="462">
        <v>0</v>
      </c>
    </row>
    <row r="251" spans="1:11" ht="12.75" customHeight="1" x14ac:dyDescent="0.2">
      <c r="A251" s="479" t="s">
        <v>822</v>
      </c>
      <c r="B251" s="478">
        <v>4873</v>
      </c>
      <c r="C251" s="1838">
        <v>0</v>
      </c>
      <c r="D251" s="462">
        <v>0</v>
      </c>
      <c r="E251" s="462">
        <v>0</v>
      </c>
      <c r="F251" s="462">
        <v>0</v>
      </c>
      <c r="G251" s="462">
        <v>0</v>
      </c>
      <c r="H251" s="462">
        <v>0</v>
      </c>
      <c r="I251" s="463"/>
      <c r="J251" s="462">
        <v>0</v>
      </c>
      <c r="K251" s="462">
        <v>0</v>
      </c>
    </row>
    <row r="252" spans="1:11" ht="12.75" customHeight="1" x14ac:dyDescent="0.2">
      <c r="A252" s="479" t="s">
        <v>823</v>
      </c>
      <c r="B252" s="478">
        <v>4874</v>
      </c>
      <c r="C252" s="1838">
        <v>0</v>
      </c>
      <c r="D252" s="462">
        <v>0</v>
      </c>
      <c r="E252" s="462">
        <v>0</v>
      </c>
      <c r="F252" s="462">
        <v>0</v>
      </c>
      <c r="G252" s="462">
        <v>0</v>
      </c>
      <c r="H252" s="462">
        <v>0</v>
      </c>
      <c r="I252" s="463"/>
      <c r="J252" s="462">
        <v>0</v>
      </c>
      <c r="K252" s="462">
        <v>0</v>
      </c>
    </row>
    <row r="253" spans="1:11" ht="12.75" customHeight="1" x14ac:dyDescent="0.2">
      <c r="A253" s="479" t="s">
        <v>490</v>
      </c>
      <c r="B253" s="478">
        <v>4875</v>
      </c>
      <c r="C253" s="1838">
        <v>0</v>
      </c>
      <c r="D253" s="462">
        <v>0</v>
      </c>
      <c r="E253" s="462">
        <v>0</v>
      </c>
      <c r="F253" s="462">
        <v>0</v>
      </c>
      <c r="G253" s="462">
        <v>0</v>
      </c>
      <c r="H253" s="462">
        <v>0</v>
      </c>
      <c r="I253" s="463"/>
      <c r="J253" s="462">
        <v>0</v>
      </c>
      <c r="K253" s="462">
        <v>0</v>
      </c>
    </row>
    <row r="254" spans="1:11" ht="12.75" customHeight="1" x14ac:dyDescent="0.2">
      <c r="A254" s="479" t="s">
        <v>793</v>
      </c>
      <c r="B254" s="478">
        <v>4876</v>
      </c>
      <c r="C254" s="1838">
        <v>0</v>
      </c>
      <c r="D254" s="462">
        <v>0</v>
      </c>
      <c r="E254" s="462">
        <v>0</v>
      </c>
      <c r="F254" s="462">
        <v>0</v>
      </c>
      <c r="G254" s="462">
        <v>0</v>
      </c>
      <c r="H254" s="462">
        <v>0</v>
      </c>
      <c r="I254" s="463"/>
      <c r="J254" s="462">
        <v>0</v>
      </c>
      <c r="K254" s="462">
        <v>0</v>
      </c>
    </row>
    <row r="255" spans="1:11" ht="12.75" customHeight="1" x14ac:dyDescent="0.2">
      <c r="A255" s="479" t="s">
        <v>794</v>
      </c>
      <c r="B255" s="478">
        <v>4877</v>
      </c>
      <c r="C255" s="1838">
        <v>0</v>
      </c>
      <c r="D255" s="462">
        <v>0</v>
      </c>
      <c r="E255" s="462">
        <v>0</v>
      </c>
      <c r="F255" s="462">
        <v>0</v>
      </c>
      <c r="G255" s="462">
        <v>0</v>
      </c>
      <c r="H255" s="462">
        <v>0</v>
      </c>
      <c r="I255" s="463"/>
      <c r="J255" s="462">
        <v>0</v>
      </c>
      <c r="K255" s="462">
        <v>0</v>
      </c>
    </row>
    <row r="256" spans="1:11" ht="12.75" customHeight="1" x14ac:dyDescent="0.2">
      <c r="A256" s="479" t="s">
        <v>795</v>
      </c>
      <c r="B256" s="478">
        <v>4878</v>
      </c>
      <c r="C256" s="1838">
        <v>0</v>
      </c>
      <c r="D256" s="462">
        <v>0</v>
      </c>
      <c r="E256" s="462">
        <v>0</v>
      </c>
      <c r="F256" s="462">
        <v>0</v>
      </c>
      <c r="G256" s="462">
        <v>0</v>
      </c>
      <c r="H256" s="462">
        <v>0</v>
      </c>
      <c r="I256" s="463"/>
      <c r="J256" s="462">
        <v>0</v>
      </c>
      <c r="K256" s="462">
        <v>0</v>
      </c>
    </row>
    <row r="257" spans="1:11" ht="12.75" customHeight="1" x14ac:dyDescent="0.2">
      <c r="A257" s="479" t="s">
        <v>796</v>
      </c>
      <c r="B257" s="478">
        <v>4879</v>
      </c>
      <c r="C257" s="1838">
        <v>0</v>
      </c>
      <c r="D257" s="462">
        <v>0</v>
      </c>
      <c r="E257" s="462">
        <v>0</v>
      </c>
      <c r="F257" s="462">
        <v>0</v>
      </c>
      <c r="G257" s="462">
        <v>0</v>
      </c>
      <c r="H257" s="462">
        <v>0</v>
      </c>
      <c r="I257" s="463"/>
      <c r="J257" s="462">
        <v>0</v>
      </c>
      <c r="K257" s="462">
        <v>0</v>
      </c>
    </row>
    <row r="258" spans="1:11" ht="12.75" customHeight="1" x14ac:dyDescent="0.2">
      <c r="A258" s="221" t="s">
        <v>1529</v>
      </c>
      <c r="B258" s="531">
        <v>4880</v>
      </c>
      <c r="C258" s="1838">
        <v>0</v>
      </c>
      <c r="D258" s="462">
        <v>0</v>
      </c>
      <c r="E258" s="462">
        <v>0</v>
      </c>
      <c r="F258" s="462">
        <v>0</v>
      </c>
      <c r="G258" s="462">
        <v>0</v>
      </c>
      <c r="H258" s="462">
        <v>0</v>
      </c>
      <c r="I258" s="463"/>
      <c r="J258" s="462">
        <v>0</v>
      </c>
      <c r="K258" s="462">
        <v>0</v>
      </c>
    </row>
    <row r="259" spans="1:11" ht="12.75" customHeight="1" thickBot="1" x14ac:dyDescent="0.25">
      <c r="A259" s="1621" t="s">
        <v>797</v>
      </c>
      <c r="B259" s="1622"/>
      <c r="C259" s="1907">
        <f t="shared" ref="C259:H259" si="9">SUM(C230:C258)</f>
        <v>0</v>
      </c>
      <c r="D259" s="1908">
        <f t="shared" si="9"/>
        <v>0</v>
      </c>
      <c r="E259" s="1908">
        <f t="shared" si="9"/>
        <v>1415923</v>
      </c>
      <c r="F259" s="1908">
        <f t="shared" si="9"/>
        <v>0</v>
      </c>
      <c r="G259" s="1908">
        <f t="shared" si="9"/>
        <v>0</v>
      </c>
      <c r="H259" s="1908">
        <f t="shared" si="9"/>
        <v>0</v>
      </c>
      <c r="I259" s="1884"/>
      <c r="J259" s="1908">
        <f>SUM(J230:J258)</f>
        <v>0</v>
      </c>
      <c r="K259" s="1848">
        <f>SUM(K230:K258)</f>
        <v>0</v>
      </c>
    </row>
    <row r="260" spans="1:11" ht="12.75" customHeight="1" thickTop="1" thickBot="1" x14ac:dyDescent="0.25">
      <c r="A260" s="1429" t="s">
        <v>1492</v>
      </c>
      <c r="B260" s="532">
        <v>4901</v>
      </c>
      <c r="C260" s="1909">
        <v>0</v>
      </c>
      <c r="D260" s="464"/>
      <c r="E260" s="463"/>
      <c r="F260" s="463"/>
      <c r="G260" s="463"/>
      <c r="H260" s="463"/>
      <c r="I260" s="463"/>
      <c r="J260" s="463"/>
      <c r="K260" s="463"/>
    </row>
    <row r="261" spans="1:11" ht="12.75" customHeight="1" thickTop="1" thickBot="1" x14ac:dyDescent="0.25">
      <c r="A261" s="1430" t="s">
        <v>1537</v>
      </c>
      <c r="B261" s="533">
        <v>4902</v>
      </c>
      <c r="C261" s="1910">
        <v>0</v>
      </c>
      <c r="D261" s="1911">
        <v>0</v>
      </c>
      <c r="E261" s="464"/>
      <c r="F261" s="1911">
        <v>0</v>
      </c>
      <c r="G261" s="1911">
        <v>0</v>
      </c>
      <c r="H261" s="464"/>
      <c r="I261" s="463"/>
      <c r="J261" s="464"/>
      <c r="K261" s="464"/>
    </row>
    <row r="262" spans="1:11" ht="12.75" customHeight="1" thickTop="1" thickBot="1" x14ac:dyDescent="0.25">
      <c r="A262" s="479" t="s">
        <v>1145</v>
      </c>
      <c r="B262" s="478">
        <v>4904</v>
      </c>
      <c r="C262" s="1912">
        <v>0</v>
      </c>
      <c r="D262" s="1910">
        <v>0</v>
      </c>
      <c r="E262" s="464"/>
      <c r="F262" s="1884"/>
      <c r="G262" s="1910">
        <v>0</v>
      </c>
      <c r="H262" s="464"/>
      <c r="I262" s="463"/>
      <c r="J262" s="463"/>
      <c r="K262" s="463"/>
    </row>
    <row r="263" spans="1:11" ht="12.75" customHeight="1" thickTop="1" thickBot="1" x14ac:dyDescent="0.25">
      <c r="A263" s="459" t="s">
        <v>1530</v>
      </c>
      <c r="B263" s="465">
        <v>4905</v>
      </c>
      <c r="C263" s="1877">
        <v>33772</v>
      </c>
      <c r="D263" s="463"/>
      <c r="E263" s="463"/>
      <c r="F263" s="1876">
        <v>0</v>
      </c>
      <c r="G263" s="1877">
        <v>0</v>
      </c>
      <c r="H263" s="463"/>
      <c r="I263" s="463"/>
      <c r="J263" s="463"/>
      <c r="K263" s="463"/>
    </row>
    <row r="264" spans="1:11" ht="12.75" customHeight="1" thickTop="1" thickBot="1" x14ac:dyDescent="0.25">
      <c r="A264" s="459" t="s">
        <v>1531</v>
      </c>
      <c r="B264" s="465">
        <v>4909</v>
      </c>
      <c r="C264" s="1875">
        <v>84581</v>
      </c>
      <c r="D264" s="463"/>
      <c r="E264" s="463"/>
      <c r="F264" s="1875">
        <v>0</v>
      </c>
      <c r="G264" s="1875">
        <v>0</v>
      </c>
      <c r="H264" s="463"/>
      <c r="I264" s="463"/>
      <c r="J264" s="463"/>
      <c r="K264" s="463"/>
    </row>
    <row r="265" spans="1:11" ht="12.75" customHeight="1" thickTop="1" thickBot="1" x14ac:dyDescent="0.25">
      <c r="A265" s="459" t="s">
        <v>944</v>
      </c>
      <c r="B265" s="465">
        <v>4910</v>
      </c>
      <c r="C265" s="1875">
        <v>0</v>
      </c>
      <c r="D265" s="463"/>
      <c r="E265" s="463"/>
      <c r="F265" s="1875">
        <v>0</v>
      </c>
      <c r="G265" s="1875">
        <v>0</v>
      </c>
      <c r="H265" s="463"/>
      <c r="I265" s="463"/>
      <c r="J265" s="463"/>
      <c r="K265" s="463"/>
    </row>
    <row r="266" spans="1:11" ht="12.75" customHeight="1" thickTop="1" thickBot="1" x14ac:dyDescent="0.25">
      <c r="A266" s="459" t="s">
        <v>202</v>
      </c>
      <c r="B266" s="465">
        <v>4920</v>
      </c>
      <c r="C266" s="1875">
        <v>0</v>
      </c>
      <c r="D266" s="1876">
        <v>0</v>
      </c>
      <c r="E266" s="463"/>
      <c r="F266" s="1877">
        <v>0</v>
      </c>
      <c r="G266" s="1877">
        <v>0</v>
      </c>
      <c r="H266" s="463"/>
      <c r="I266" s="463"/>
      <c r="J266" s="463"/>
      <c r="K266" s="463"/>
    </row>
    <row r="267" spans="1:11" ht="12.75" customHeight="1" thickTop="1" thickBot="1" x14ac:dyDescent="0.25">
      <c r="A267" s="459" t="s">
        <v>440</v>
      </c>
      <c r="B267" s="465">
        <v>4930</v>
      </c>
      <c r="C267" s="1875">
        <v>0</v>
      </c>
      <c r="D267" s="1875">
        <v>0</v>
      </c>
      <c r="E267" s="463"/>
      <c r="F267" s="1875">
        <v>0</v>
      </c>
      <c r="G267" s="1875">
        <v>0</v>
      </c>
      <c r="H267" s="463"/>
      <c r="I267" s="463"/>
      <c r="J267" s="463"/>
      <c r="K267" s="463"/>
    </row>
    <row r="268" spans="1:11" ht="12.75" customHeight="1" thickTop="1" thickBot="1" x14ac:dyDescent="0.25">
      <c r="A268" s="459" t="s">
        <v>781</v>
      </c>
      <c r="B268" s="465">
        <v>4932</v>
      </c>
      <c r="C268" s="1875">
        <v>372874</v>
      </c>
      <c r="D268" s="1875">
        <v>0</v>
      </c>
      <c r="E268" s="463"/>
      <c r="F268" s="1875">
        <v>0</v>
      </c>
      <c r="G268" s="1875">
        <v>0</v>
      </c>
      <c r="H268" s="463"/>
      <c r="I268" s="463"/>
      <c r="J268" s="463"/>
      <c r="K268" s="463"/>
    </row>
    <row r="269" spans="1:11" ht="12.75" customHeight="1" thickTop="1" thickBot="1" x14ac:dyDescent="0.25">
      <c r="A269" s="459" t="s">
        <v>945</v>
      </c>
      <c r="B269" s="465">
        <v>4960</v>
      </c>
      <c r="C269" s="1898">
        <v>0</v>
      </c>
      <c r="D269" s="1875">
        <v>0</v>
      </c>
      <c r="E269" s="463"/>
      <c r="F269" s="1875">
        <v>0</v>
      </c>
      <c r="G269" s="1875">
        <v>0</v>
      </c>
      <c r="H269" s="463"/>
      <c r="I269" s="463"/>
      <c r="J269" s="463"/>
      <c r="K269" s="463"/>
    </row>
    <row r="270" spans="1:11" ht="12.75" customHeight="1" thickTop="1" thickBot="1" x14ac:dyDescent="0.25">
      <c r="A270" s="459" t="s">
        <v>588</v>
      </c>
      <c r="B270" s="465">
        <v>4991</v>
      </c>
      <c r="C270" s="1898">
        <v>142544</v>
      </c>
      <c r="D270" s="1875">
        <v>0</v>
      </c>
      <c r="E270" s="463"/>
      <c r="F270" s="1875">
        <v>0</v>
      </c>
      <c r="G270" s="1875">
        <v>0</v>
      </c>
      <c r="H270" s="463"/>
      <c r="I270" s="463"/>
      <c r="J270" s="463"/>
      <c r="K270" s="463"/>
    </row>
    <row r="271" spans="1:11" ht="12.75" customHeight="1" thickTop="1" thickBot="1" x14ac:dyDescent="0.25">
      <c r="A271" s="459" t="s">
        <v>394</v>
      </c>
      <c r="B271" s="465">
        <v>4992</v>
      </c>
      <c r="C271" s="1898">
        <v>505071</v>
      </c>
      <c r="D271" s="1875">
        <v>0</v>
      </c>
      <c r="E271" s="463"/>
      <c r="F271" s="1875">
        <v>0</v>
      </c>
      <c r="G271" s="1875">
        <v>0</v>
      </c>
      <c r="H271" s="463"/>
      <c r="I271" s="463"/>
      <c r="J271" s="463"/>
      <c r="K271" s="463"/>
    </row>
    <row r="272" spans="1:11" s="534" customFormat="1" ht="12.75" customHeight="1" thickTop="1" thickBot="1" x14ac:dyDescent="0.25">
      <c r="A272" s="522" t="s">
        <v>77</v>
      </c>
      <c r="B272" s="518">
        <v>4999</v>
      </c>
      <c r="C272" s="1898">
        <v>49495</v>
      </c>
      <c r="D272" s="1875">
        <v>0</v>
      </c>
      <c r="E272" s="463"/>
      <c r="F272" s="1875">
        <v>0</v>
      </c>
      <c r="G272" s="1875">
        <v>0</v>
      </c>
      <c r="H272" s="1873">
        <v>0</v>
      </c>
      <c r="I272" s="463"/>
      <c r="J272" s="463"/>
      <c r="K272" s="1873">
        <v>0</v>
      </c>
    </row>
    <row r="273" spans="1:11" ht="14.25" thickTop="1" thickBot="1" x14ac:dyDescent="0.25">
      <c r="A273" s="1610" t="s">
        <v>1764</v>
      </c>
      <c r="B273" s="1623"/>
      <c r="C273" s="1891">
        <f t="shared" ref="C273:H273" si="10">SUM(C191,C201,C211,C216,C224,C228,C229,C259:C272)</f>
        <v>11154907</v>
      </c>
      <c r="D273" s="1891">
        <f t="shared" si="10"/>
        <v>0</v>
      </c>
      <c r="E273" s="1891">
        <f t="shared" si="10"/>
        <v>1415923</v>
      </c>
      <c r="F273" s="1891">
        <f t="shared" si="10"/>
        <v>0</v>
      </c>
      <c r="G273" s="1891">
        <f t="shared" si="10"/>
        <v>0</v>
      </c>
      <c r="H273" s="1891">
        <f t="shared" si="10"/>
        <v>0</v>
      </c>
      <c r="I273" s="463"/>
      <c r="J273" s="1891">
        <f>SUM(J191,J201,J211,J216,J224,J228,J229,J259:J272)</f>
        <v>0</v>
      </c>
      <c r="K273" s="1879">
        <f>SUM(K191,K201,K211,K216,K224,K228,K229,K259:K272)</f>
        <v>0</v>
      </c>
    </row>
    <row r="274" spans="1:11" ht="14.25" thickTop="1" thickBot="1" x14ac:dyDescent="0.25">
      <c r="A274" s="1624" t="s">
        <v>1146</v>
      </c>
      <c r="B274" s="1625" t="s">
        <v>914</v>
      </c>
      <c r="C274" s="1891">
        <f>SUM(C178,C184,C273)</f>
        <v>11258148</v>
      </c>
      <c r="D274" s="1891">
        <f>SUM(D178,D184,D273)</f>
        <v>0</v>
      </c>
      <c r="E274" s="1891">
        <f>SUM(E178,E273)</f>
        <v>1415923</v>
      </c>
      <c r="F274" s="1891">
        <f t="shared" ref="F274:K274" si="11">SUM(F178,F184,F273)</f>
        <v>0</v>
      </c>
      <c r="G274" s="1891">
        <f t="shared" si="11"/>
        <v>0</v>
      </c>
      <c r="H274" s="1891">
        <f t="shared" si="11"/>
        <v>0</v>
      </c>
      <c r="I274" s="1891">
        <f t="shared" si="11"/>
        <v>0</v>
      </c>
      <c r="J274" s="1891">
        <f t="shared" si="11"/>
        <v>0</v>
      </c>
      <c r="K274" s="1879">
        <f t="shared" si="11"/>
        <v>0</v>
      </c>
    </row>
    <row r="275" spans="1:11" ht="14.25" thickTop="1" thickBot="1" x14ac:dyDescent="0.25">
      <c r="A275" s="1626" t="s">
        <v>269</v>
      </c>
      <c r="B275" s="1627"/>
      <c r="C275" s="1891">
        <f t="shared" ref="C275:K275" si="12">SUM(C109,C114,C173,C274)</f>
        <v>109197136</v>
      </c>
      <c r="D275" s="1891">
        <f t="shared" si="12"/>
        <v>9904147</v>
      </c>
      <c r="E275" s="1891">
        <f t="shared" si="12"/>
        <v>17372476</v>
      </c>
      <c r="F275" s="1891">
        <f t="shared" si="12"/>
        <v>7645401</v>
      </c>
      <c r="G275" s="1891">
        <f t="shared" si="12"/>
        <v>4090252</v>
      </c>
      <c r="H275" s="1891">
        <f t="shared" si="12"/>
        <v>2332827</v>
      </c>
      <c r="I275" s="1891">
        <f t="shared" si="12"/>
        <v>135160</v>
      </c>
      <c r="J275" s="1891">
        <f t="shared" si="12"/>
        <v>519225</v>
      </c>
      <c r="K275" s="1879">
        <f t="shared" si="12"/>
        <v>109958</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4"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N381"/>
  <sheetViews>
    <sheetView showGridLines="0" defaultGridColor="0" colorId="8" zoomScale="85" zoomScaleNormal="85" workbookViewId="0">
      <pane ySplit="2" topLeftCell="A318" activePane="bottomLeft" state="frozen"/>
      <selection activeCell="H32" sqref="H32"/>
      <selection pane="bottomLeft" activeCell="A301" sqref="A301"/>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94" t="s">
        <v>1901</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226"/>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32" t="s">
        <v>314</v>
      </c>
      <c r="B3" s="2233"/>
      <c r="C3" s="1475"/>
      <c r="D3" s="1475"/>
      <c r="E3" s="1475"/>
      <c r="F3" s="1475"/>
      <c r="G3" s="1475"/>
      <c r="H3" s="1475"/>
      <c r="I3" s="1475"/>
      <c r="J3" s="1475"/>
      <c r="K3" s="1476"/>
      <c r="L3" s="1477"/>
      <c r="M3" s="546"/>
      <c r="N3" s="546"/>
    </row>
    <row r="4" spans="1:14" s="255" customFormat="1" ht="15.75" customHeight="1" x14ac:dyDescent="0.2">
      <c r="A4" s="1524" t="s">
        <v>46</v>
      </c>
      <c r="B4" s="1525" t="s">
        <v>590</v>
      </c>
      <c r="C4" s="547"/>
      <c r="D4" s="547"/>
      <c r="E4" s="547"/>
      <c r="F4" s="547"/>
      <c r="G4" s="547"/>
      <c r="H4" s="547"/>
      <c r="I4" s="548"/>
      <c r="J4" s="547"/>
      <c r="K4" s="549"/>
      <c r="L4" s="547"/>
      <c r="M4" s="550"/>
      <c r="N4" s="550"/>
    </row>
    <row r="5" spans="1:14" x14ac:dyDescent="0.2">
      <c r="A5" s="1431" t="s">
        <v>1017</v>
      </c>
      <c r="B5" s="551">
        <v>1100</v>
      </c>
      <c r="C5" s="461">
        <v>33453464</v>
      </c>
      <c r="D5" s="461">
        <v>8004699</v>
      </c>
      <c r="E5" s="461">
        <v>254352</v>
      </c>
      <c r="F5" s="461">
        <v>1362558</v>
      </c>
      <c r="G5" s="461">
        <v>287012</v>
      </c>
      <c r="H5" s="461">
        <v>54941</v>
      </c>
      <c r="I5" s="462">
        <v>0</v>
      </c>
      <c r="J5" s="462">
        <v>0</v>
      </c>
      <c r="K5" s="1913">
        <f>SUM(C5:J5)</f>
        <v>43417026</v>
      </c>
      <c r="L5" s="461">
        <v>43202576</v>
      </c>
    </row>
    <row r="6" spans="1:14" x14ac:dyDescent="0.2">
      <c r="A6" s="1431" t="s">
        <v>1507</v>
      </c>
      <c r="B6" s="551" t="s">
        <v>1505</v>
      </c>
      <c r="C6" s="469"/>
      <c r="D6" s="469"/>
      <c r="E6" s="461">
        <v>0</v>
      </c>
      <c r="F6" s="469"/>
      <c r="G6" s="469"/>
      <c r="H6" s="469"/>
      <c r="I6" s="469"/>
      <c r="J6" s="469"/>
      <c r="K6" s="1913">
        <f>SUM(C6,E6)</f>
        <v>0</v>
      </c>
      <c r="L6" s="461">
        <v>0</v>
      </c>
    </row>
    <row r="7" spans="1:14" x14ac:dyDescent="0.2">
      <c r="A7" s="1431" t="s">
        <v>165</v>
      </c>
      <c r="B7" s="551" t="s">
        <v>1023</v>
      </c>
      <c r="C7" s="462">
        <v>0</v>
      </c>
      <c r="D7" s="462">
        <v>0</v>
      </c>
      <c r="E7" s="462">
        <v>0</v>
      </c>
      <c r="F7" s="462">
        <v>0</v>
      </c>
      <c r="G7" s="462">
        <v>0</v>
      </c>
      <c r="H7" s="462">
        <v>0</v>
      </c>
      <c r="I7" s="462">
        <v>0</v>
      </c>
      <c r="J7" s="462">
        <v>0</v>
      </c>
      <c r="K7" s="1913">
        <f t="shared" ref="K7:K32" si="0">SUM(C7:J7)</f>
        <v>0</v>
      </c>
      <c r="L7" s="461">
        <v>0</v>
      </c>
    </row>
    <row r="8" spans="1:14" x14ac:dyDescent="0.2">
      <c r="A8" s="1431" t="s">
        <v>166</v>
      </c>
      <c r="B8" s="551">
        <v>1200</v>
      </c>
      <c r="C8" s="461">
        <v>10824139</v>
      </c>
      <c r="D8" s="461">
        <v>2819886</v>
      </c>
      <c r="E8" s="461">
        <v>842321</v>
      </c>
      <c r="F8" s="461">
        <v>111638</v>
      </c>
      <c r="G8" s="461">
        <v>12252</v>
      </c>
      <c r="H8" s="461">
        <v>3254238</v>
      </c>
      <c r="I8" s="462">
        <v>0</v>
      </c>
      <c r="J8" s="462">
        <v>0</v>
      </c>
      <c r="K8" s="1913">
        <f t="shared" si="0"/>
        <v>17864474</v>
      </c>
      <c r="L8" s="461">
        <v>17802195</v>
      </c>
    </row>
    <row r="9" spans="1:14" x14ac:dyDescent="0.2">
      <c r="A9" s="1431" t="s">
        <v>744</v>
      </c>
      <c r="B9" s="551" t="s">
        <v>1024</v>
      </c>
      <c r="C9" s="462">
        <v>0</v>
      </c>
      <c r="D9" s="462">
        <v>0</v>
      </c>
      <c r="E9" s="462">
        <v>0</v>
      </c>
      <c r="F9" s="462">
        <v>0</v>
      </c>
      <c r="G9" s="462">
        <v>0</v>
      </c>
      <c r="H9" s="462">
        <v>0</v>
      </c>
      <c r="I9" s="462">
        <v>0</v>
      </c>
      <c r="J9" s="462">
        <v>0</v>
      </c>
      <c r="K9" s="1913">
        <f t="shared" si="0"/>
        <v>0</v>
      </c>
      <c r="L9" s="461">
        <v>0</v>
      </c>
    </row>
    <row r="10" spans="1:14" x14ac:dyDescent="0.2">
      <c r="A10" s="1431" t="s">
        <v>745</v>
      </c>
      <c r="B10" s="551">
        <v>1250</v>
      </c>
      <c r="C10" s="461">
        <v>1168286</v>
      </c>
      <c r="D10" s="461">
        <v>302894</v>
      </c>
      <c r="E10" s="461">
        <v>47687</v>
      </c>
      <c r="F10" s="461">
        <v>268165</v>
      </c>
      <c r="G10" s="461">
        <v>1086</v>
      </c>
      <c r="H10" s="461">
        <v>0</v>
      </c>
      <c r="I10" s="462">
        <v>0</v>
      </c>
      <c r="J10" s="462">
        <v>0</v>
      </c>
      <c r="K10" s="1913">
        <f t="shared" si="0"/>
        <v>1788118</v>
      </c>
      <c r="L10" s="461">
        <v>1730194</v>
      </c>
    </row>
    <row r="11" spans="1:14" x14ac:dyDescent="0.2">
      <c r="A11" s="1431" t="s">
        <v>1191</v>
      </c>
      <c r="B11" s="551" t="s">
        <v>163</v>
      </c>
      <c r="C11" s="462">
        <v>0</v>
      </c>
      <c r="D11" s="462">
        <v>0</v>
      </c>
      <c r="E11" s="462">
        <v>0</v>
      </c>
      <c r="F11" s="462">
        <v>0</v>
      </c>
      <c r="G11" s="462">
        <v>0</v>
      </c>
      <c r="H11" s="462">
        <v>0</v>
      </c>
      <c r="I11" s="462">
        <v>0</v>
      </c>
      <c r="J11" s="462">
        <v>0</v>
      </c>
      <c r="K11" s="1913">
        <f t="shared" si="0"/>
        <v>0</v>
      </c>
      <c r="L11" s="461">
        <v>0</v>
      </c>
    </row>
    <row r="12" spans="1:14" x14ac:dyDescent="0.2">
      <c r="A12" s="1431" t="s">
        <v>1018</v>
      </c>
      <c r="B12" s="551">
        <v>1300</v>
      </c>
      <c r="C12" s="461">
        <v>0</v>
      </c>
      <c r="D12" s="461">
        <v>0</v>
      </c>
      <c r="E12" s="461">
        <v>0</v>
      </c>
      <c r="F12" s="461">
        <v>0</v>
      </c>
      <c r="G12" s="461">
        <v>0</v>
      </c>
      <c r="H12" s="461">
        <v>0</v>
      </c>
      <c r="I12" s="462">
        <v>0</v>
      </c>
      <c r="J12" s="462">
        <v>0</v>
      </c>
      <c r="K12" s="1913">
        <f t="shared" si="0"/>
        <v>0</v>
      </c>
      <c r="L12" s="461">
        <v>0</v>
      </c>
    </row>
    <row r="13" spans="1:14" x14ac:dyDescent="0.2">
      <c r="A13" s="1431" t="s">
        <v>746</v>
      </c>
      <c r="B13" s="551">
        <v>1400</v>
      </c>
      <c r="C13" s="461">
        <v>0</v>
      </c>
      <c r="D13" s="461">
        <v>0</v>
      </c>
      <c r="E13" s="461">
        <v>9303</v>
      </c>
      <c r="F13" s="461">
        <v>0</v>
      </c>
      <c r="G13" s="461">
        <v>0</v>
      </c>
      <c r="H13" s="461">
        <v>0</v>
      </c>
      <c r="I13" s="462">
        <v>0</v>
      </c>
      <c r="J13" s="462">
        <v>0</v>
      </c>
      <c r="K13" s="1913">
        <f t="shared" si="0"/>
        <v>9303</v>
      </c>
      <c r="L13" s="461">
        <v>9750</v>
      </c>
    </row>
    <row r="14" spans="1:14" x14ac:dyDescent="0.2">
      <c r="A14" s="1431" t="s">
        <v>1019</v>
      </c>
      <c r="B14" s="551">
        <v>1500</v>
      </c>
      <c r="C14" s="461">
        <v>218114</v>
      </c>
      <c r="D14" s="461">
        <v>42065</v>
      </c>
      <c r="E14" s="461">
        <v>209725</v>
      </c>
      <c r="F14" s="461">
        <v>143909</v>
      </c>
      <c r="G14" s="461">
        <v>3853</v>
      </c>
      <c r="H14" s="461">
        <v>0</v>
      </c>
      <c r="I14" s="462">
        <v>0</v>
      </c>
      <c r="J14" s="462">
        <v>0</v>
      </c>
      <c r="K14" s="1913">
        <f t="shared" si="0"/>
        <v>617666</v>
      </c>
      <c r="L14" s="461">
        <v>608048</v>
      </c>
    </row>
    <row r="15" spans="1:14" x14ac:dyDescent="0.2">
      <c r="A15" s="1431" t="s">
        <v>1020</v>
      </c>
      <c r="B15" s="551">
        <v>1600</v>
      </c>
      <c r="C15" s="461">
        <v>284310</v>
      </c>
      <c r="D15" s="461">
        <v>8644</v>
      </c>
      <c r="E15" s="461">
        <v>2580</v>
      </c>
      <c r="F15" s="461">
        <v>14876</v>
      </c>
      <c r="G15" s="461">
        <v>0</v>
      </c>
      <c r="H15" s="461">
        <v>0</v>
      </c>
      <c r="I15" s="462">
        <v>0</v>
      </c>
      <c r="J15" s="462">
        <v>0</v>
      </c>
      <c r="K15" s="1913">
        <f t="shared" si="0"/>
        <v>310410</v>
      </c>
      <c r="L15" s="461">
        <v>310408</v>
      </c>
    </row>
    <row r="16" spans="1:14" x14ac:dyDescent="0.2">
      <c r="A16" s="1431" t="s">
        <v>1043</v>
      </c>
      <c r="B16" s="551" t="s">
        <v>443</v>
      </c>
      <c r="C16" s="461">
        <v>537757</v>
      </c>
      <c r="D16" s="461">
        <v>140364</v>
      </c>
      <c r="E16" s="461">
        <v>3720</v>
      </c>
      <c r="F16" s="461">
        <v>13173</v>
      </c>
      <c r="G16" s="461">
        <v>0</v>
      </c>
      <c r="H16" s="461">
        <v>0</v>
      </c>
      <c r="I16" s="462">
        <v>0</v>
      </c>
      <c r="J16" s="462">
        <v>0</v>
      </c>
      <c r="K16" s="1913">
        <f t="shared" si="0"/>
        <v>695014</v>
      </c>
      <c r="L16" s="461">
        <v>709211</v>
      </c>
    </row>
    <row r="17" spans="1:12" x14ac:dyDescent="0.2">
      <c r="A17" s="1431" t="s">
        <v>747</v>
      </c>
      <c r="B17" s="551" t="s">
        <v>164</v>
      </c>
      <c r="C17" s="462">
        <v>142291</v>
      </c>
      <c r="D17" s="462">
        <v>19310</v>
      </c>
      <c r="E17" s="462">
        <v>0</v>
      </c>
      <c r="F17" s="462">
        <v>0</v>
      </c>
      <c r="G17" s="462">
        <v>0</v>
      </c>
      <c r="H17" s="462">
        <v>0</v>
      </c>
      <c r="I17" s="462">
        <v>0</v>
      </c>
      <c r="J17" s="462">
        <v>0</v>
      </c>
      <c r="K17" s="1913">
        <f t="shared" si="0"/>
        <v>161601</v>
      </c>
      <c r="L17" s="461">
        <v>161827</v>
      </c>
    </row>
    <row r="18" spans="1:12" x14ac:dyDescent="0.2">
      <c r="A18" s="1431" t="s">
        <v>1147</v>
      </c>
      <c r="B18" s="551">
        <v>1800</v>
      </c>
      <c r="C18" s="461">
        <v>2395715</v>
      </c>
      <c r="D18" s="461">
        <v>569491</v>
      </c>
      <c r="E18" s="461">
        <v>38320</v>
      </c>
      <c r="F18" s="461">
        <v>164805</v>
      </c>
      <c r="G18" s="461">
        <v>0</v>
      </c>
      <c r="H18" s="461">
        <v>0</v>
      </c>
      <c r="I18" s="462">
        <v>0</v>
      </c>
      <c r="J18" s="462">
        <v>0</v>
      </c>
      <c r="K18" s="1913">
        <f t="shared" si="0"/>
        <v>3168331</v>
      </c>
      <c r="L18" s="461">
        <v>3137756</v>
      </c>
    </row>
    <row r="19" spans="1:12" x14ac:dyDescent="0.2">
      <c r="A19" s="1431" t="s">
        <v>136</v>
      </c>
      <c r="B19" s="551">
        <v>1900</v>
      </c>
      <c r="C19" s="461">
        <v>974725</v>
      </c>
      <c r="D19" s="461">
        <v>250866</v>
      </c>
      <c r="E19" s="461">
        <v>500</v>
      </c>
      <c r="F19" s="461">
        <v>13340</v>
      </c>
      <c r="G19" s="461">
        <v>859</v>
      </c>
      <c r="H19" s="461">
        <v>0</v>
      </c>
      <c r="I19" s="462">
        <v>0</v>
      </c>
      <c r="J19" s="462">
        <v>0</v>
      </c>
      <c r="K19" s="1913">
        <f t="shared" si="0"/>
        <v>1240290</v>
      </c>
      <c r="L19" s="461">
        <v>1207699</v>
      </c>
    </row>
    <row r="20" spans="1:12" x14ac:dyDescent="0.2">
      <c r="A20" s="1432" t="s">
        <v>761</v>
      </c>
      <c r="B20" s="539" t="s">
        <v>748</v>
      </c>
      <c r="C20" s="469"/>
      <c r="D20" s="469"/>
      <c r="E20" s="469"/>
      <c r="F20" s="469"/>
      <c r="G20" s="469"/>
      <c r="H20" s="1829">
        <v>0</v>
      </c>
      <c r="I20" s="1914"/>
      <c r="J20" s="468"/>
      <c r="K20" s="1913">
        <f t="shared" si="0"/>
        <v>0</v>
      </c>
      <c r="L20" s="1828">
        <v>0</v>
      </c>
    </row>
    <row r="21" spans="1:12" x14ac:dyDescent="0.2">
      <c r="A21" s="1432" t="s">
        <v>762</v>
      </c>
      <c r="B21" s="539" t="s">
        <v>749</v>
      </c>
      <c r="C21" s="469"/>
      <c r="D21" s="469"/>
      <c r="E21" s="469"/>
      <c r="F21" s="469"/>
      <c r="G21" s="469"/>
      <c r="H21" s="1829">
        <v>0</v>
      </c>
      <c r="I21" s="1914"/>
      <c r="J21" s="469"/>
      <c r="K21" s="1913">
        <f t="shared" si="0"/>
        <v>0</v>
      </c>
      <c r="L21" s="1828">
        <v>0</v>
      </c>
    </row>
    <row r="22" spans="1:12" x14ac:dyDescent="0.2">
      <c r="A22" s="1432" t="s">
        <v>763</v>
      </c>
      <c r="B22" s="539" t="s">
        <v>750</v>
      </c>
      <c r="C22" s="469"/>
      <c r="D22" s="469"/>
      <c r="E22" s="469"/>
      <c r="F22" s="469"/>
      <c r="G22" s="469"/>
      <c r="H22" s="1829">
        <v>0</v>
      </c>
      <c r="I22" s="1914"/>
      <c r="J22" s="469"/>
      <c r="K22" s="1913">
        <f t="shared" si="0"/>
        <v>0</v>
      </c>
      <c r="L22" s="1828">
        <v>0</v>
      </c>
    </row>
    <row r="23" spans="1:12" x14ac:dyDescent="0.2">
      <c r="A23" s="1432" t="s">
        <v>764</v>
      </c>
      <c r="B23" s="539" t="s">
        <v>751</v>
      </c>
      <c r="C23" s="469"/>
      <c r="D23" s="469"/>
      <c r="E23" s="469"/>
      <c r="F23" s="469"/>
      <c r="G23" s="469"/>
      <c r="H23" s="1829">
        <v>0</v>
      </c>
      <c r="I23" s="1914"/>
      <c r="J23" s="469"/>
      <c r="K23" s="1913">
        <f t="shared" si="0"/>
        <v>0</v>
      </c>
      <c r="L23" s="1828">
        <v>0</v>
      </c>
    </row>
    <row r="24" spans="1:12" ht="12.75" customHeight="1" x14ac:dyDescent="0.2">
      <c r="A24" s="1432" t="s">
        <v>765</v>
      </c>
      <c r="B24" s="539" t="s">
        <v>752</v>
      </c>
      <c r="C24" s="469"/>
      <c r="D24" s="469"/>
      <c r="E24" s="469"/>
      <c r="F24" s="469"/>
      <c r="G24" s="469"/>
      <c r="H24" s="1829">
        <v>0</v>
      </c>
      <c r="I24" s="1914"/>
      <c r="J24" s="469"/>
      <c r="K24" s="1913">
        <f t="shared" si="0"/>
        <v>0</v>
      </c>
      <c r="L24" s="1828">
        <v>0</v>
      </c>
    </row>
    <row r="25" spans="1:12" ht="12.75" customHeight="1" x14ac:dyDescent="0.2">
      <c r="A25" s="1432" t="s">
        <v>834</v>
      </c>
      <c r="B25" s="539" t="s">
        <v>753</v>
      </c>
      <c r="C25" s="469"/>
      <c r="D25" s="469"/>
      <c r="E25" s="469"/>
      <c r="F25" s="469"/>
      <c r="G25" s="469"/>
      <c r="H25" s="1829">
        <v>0</v>
      </c>
      <c r="I25" s="1914"/>
      <c r="J25" s="469"/>
      <c r="K25" s="1913">
        <f t="shared" si="0"/>
        <v>0</v>
      </c>
      <c r="L25" s="1828">
        <v>0</v>
      </c>
    </row>
    <row r="26" spans="1:12" x14ac:dyDescent="0.2">
      <c r="A26" s="1432" t="s">
        <v>642</v>
      </c>
      <c r="B26" s="539" t="s">
        <v>754</v>
      </c>
      <c r="C26" s="469"/>
      <c r="D26" s="469"/>
      <c r="E26" s="469"/>
      <c r="F26" s="469"/>
      <c r="G26" s="469"/>
      <c r="H26" s="1829">
        <v>0</v>
      </c>
      <c r="I26" s="1914"/>
      <c r="J26" s="469"/>
      <c r="K26" s="1913">
        <f t="shared" si="0"/>
        <v>0</v>
      </c>
      <c r="L26" s="1828">
        <v>0</v>
      </c>
    </row>
    <row r="27" spans="1:12" x14ac:dyDescent="0.2">
      <c r="A27" s="1432" t="s">
        <v>643</v>
      </c>
      <c r="B27" s="539" t="s">
        <v>755</v>
      </c>
      <c r="C27" s="469"/>
      <c r="D27" s="469"/>
      <c r="E27" s="469"/>
      <c r="F27" s="469"/>
      <c r="G27" s="469"/>
      <c r="H27" s="1829">
        <v>0</v>
      </c>
      <c r="I27" s="1914"/>
      <c r="J27" s="469"/>
      <c r="K27" s="1913">
        <f t="shared" si="0"/>
        <v>0</v>
      </c>
      <c r="L27" s="1828">
        <v>0</v>
      </c>
    </row>
    <row r="28" spans="1:12" x14ac:dyDescent="0.2">
      <c r="A28" s="1432" t="s">
        <v>152</v>
      </c>
      <c r="B28" s="539" t="s">
        <v>756</v>
      </c>
      <c r="C28" s="469"/>
      <c r="D28" s="469"/>
      <c r="E28" s="469"/>
      <c r="F28" s="469"/>
      <c r="G28" s="469"/>
      <c r="H28" s="1829">
        <v>0</v>
      </c>
      <c r="I28" s="1914"/>
      <c r="J28" s="469"/>
      <c r="K28" s="1913">
        <f t="shared" si="0"/>
        <v>0</v>
      </c>
      <c r="L28" s="1828">
        <v>0</v>
      </c>
    </row>
    <row r="29" spans="1:12" x14ac:dyDescent="0.2">
      <c r="A29" s="1432" t="s">
        <v>153</v>
      </c>
      <c r="B29" s="539" t="s">
        <v>757</v>
      </c>
      <c r="C29" s="469"/>
      <c r="D29" s="469"/>
      <c r="E29" s="469"/>
      <c r="F29" s="469"/>
      <c r="G29" s="469"/>
      <c r="H29" s="1829">
        <v>0</v>
      </c>
      <c r="I29" s="1914"/>
      <c r="J29" s="469"/>
      <c r="K29" s="1913">
        <f t="shared" si="0"/>
        <v>0</v>
      </c>
      <c r="L29" s="1828">
        <v>0</v>
      </c>
    </row>
    <row r="30" spans="1:12" x14ac:dyDescent="0.2">
      <c r="A30" s="1432" t="s">
        <v>154</v>
      </c>
      <c r="B30" s="539" t="s">
        <v>758</v>
      </c>
      <c r="C30" s="469"/>
      <c r="D30" s="469"/>
      <c r="E30" s="469"/>
      <c r="F30" s="469"/>
      <c r="G30" s="469"/>
      <c r="H30" s="1829">
        <v>0</v>
      </c>
      <c r="I30" s="1914"/>
      <c r="J30" s="469"/>
      <c r="K30" s="1913">
        <f t="shared" si="0"/>
        <v>0</v>
      </c>
      <c r="L30" s="1828">
        <v>0</v>
      </c>
    </row>
    <row r="31" spans="1:12" x14ac:dyDescent="0.2">
      <c r="A31" s="1432" t="s">
        <v>155</v>
      </c>
      <c r="B31" s="539" t="s">
        <v>759</v>
      </c>
      <c r="C31" s="469"/>
      <c r="D31" s="469"/>
      <c r="E31" s="469"/>
      <c r="F31" s="469"/>
      <c r="G31" s="469"/>
      <c r="H31" s="1829">
        <v>0</v>
      </c>
      <c r="I31" s="1914"/>
      <c r="J31" s="469"/>
      <c r="K31" s="1913">
        <f t="shared" si="0"/>
        <v>0</v>
      </c>
      <c r="L31" s="1828">
        <v>0</v>
      </c>
    </row>
    <row r="32" spans="1:12" x14ac:dyDescent="0.2">
      <c r="A32" s="1433" t="s">
        <v>1190</v>
      </c>
      <c r="B32" s="551" t="s">
        <v>760</v>
      </c>
      <c r="C32" s="469"/>
      <c r="D32" s="469"/>
      <c r="E32" s="469"/>
      <c r="F32" s="469"/>
      <c r="G32" s="469"/>
      <c r="H32" s="1829">
        <v>0</v>
      </c>
      <c r="I32" s="1914"/>
      <c r="J32" s="1842"/>
      <c r="K32" s="1913">
        <f t="shared" si="0"/>
        <v>0</v>
      </c>
      <c r="L32" s="1828">
        <v>0</v>
      </c>
    </row>
    <row r="33" spans="1:14" ht="12.75" customHeight="1" thickBot="1" x14ac:dyDescent="0.25">
      <c r="A33" s="1583" t="s">
        <v>1766</v>
      </c>
      <c r="B33" s="1584" t="s">
        <v>590</v>
      </c>
      <c r="C33" s="1915">
        <f>SUM(C5:C32)</f>
        <v>49998801</v>
      </c>
      <c r="D33" s="1915">
        <f t="shared" ref="D33:L33" si="1">SUM(D5:D32)</f>
        <v>12158219</v>
      </c>
      <c r="E33" s="1915">
        <f t="shared" si="1"/>
        <v>1408508</v>
      </c>
      <c r="F33" s="1915">
        <f t="shared" si="1"/>
        <v>2092464</v>
      </c>
      <c r="G33" s="1915">
        <f t="shared" si="1"/>
        <v>305062</v>
      </c>
      <c r="H33" s="1915">
        <f t="shared" si="1"/>
        <v>3309179</v>
      </c>
      <c r="I33" s="1915">
        <f t="shared" si="1"/>
        <v>0</v>
      </c>
      <c r="J33" s="1915">
        <f t="shared" si="1"/>
        <v>0</v>
      </c>
      <c r="K33" s="1915">
        <f t="shared" si="1"/>
        <v>69272233</v>
      </c>
      <c r="L33" s="1915">
        <f t="shared" si="1"/>
        <v>68879664</v>
      </c>
    </row>
    <row r="34" spans="1:14" s="554" customFormat="1" ht="15.75" customHeight="1" thickTop="1" x14ac:dyDescent="0.2">
      <c r="A34" s="1526" t="s">
        <v>48</v>
      </c>
      <c r="B34" s="1527" t="s">
        <v>589</v>
      </c>
      <c r="C34" s="1916"/>
      <c r="D34" s="1916"/>
      <c r="E34" s="1916"/>
      <c r="F34" s="1916"/>
      <c r="G34" s="1916"/>
      <c r="H34" s="1916"/>
      <c r="I34" s="1914"/>
      <c r="J34" s="1914"/>
      <c r="K34" s="1914"/>
      <c r="L34" s="1914"/>
      <c r="M34" s="553"/>
      <c r="N34" s="553"/>
    </row>
    <row r="35" spans="1:14" s="554" customFormat="1" ht="15.75" customHeight="1" x14ac:dyDescent="0.2">
      <c r="A35" s="555" t="s">
        <v>611</v>
      </c>
      <c r="B35" s="556"/>
      <c r="C35" s="1917"/>
      <c r="D35" s="1917"/>
      <c r="E35" s="1917"/>
      <c r="F35" s="1917"/>
      <c r="G35" s="1917"/>
      <c r="H35" s="1917"/>
      <c r="I35" s="1914"/>
      <c r="J35" s="1914"/>
      <c r="K35" s="1914"/>
      <c r="L35" s="1914"/>
      <c r="M35" s="553"/>
      <c r="N35" s="553"/>
    </row>
    <row r="36" spans="1:14" x14ac:dyDescent="0.2">
      <c r="A36" s="1431" t="s">
        <v>1149</v>
      </c>
      <c r="B36" s="551">
        <v>2110</v>
      </c>
      <c r="C36" s="1833">
        <v>1715252</v>
      </c>
      <c r="D36" s="1833">
        <v>377325</v>
      </c>
      <c r="E36" s="1833">
        <v>7534</v>
      </c>
      <c r="F36" s="1833">
        <v>19352</v>
      </c>
      <c r="G36" s="1833">
        <v>899</v>
      </c>
      <c r="H36" s="1833">
        <v>0</v>
      </c>
      <c r="I36" s="462">
        <v>0</v>
      </c>
      <c r="J36" s="462">
        <v>0</v>
      </c>
      <c r="K36" s="1913">
        <f t="shared" ref="K36:K41" si="2">SUM(C36:J36)</f>
        <v>2120362</v>
      </c>
      <c r="L36" s="461">
        <v>2077124</v>
      </c>
    </row>
    <row r="37" spans="1:14" x14ac:dyDescent="0.2">
      <c r="A37" s="1431" t="s">
        <v>1150</v>
      </c>
      <c r="B37" s="551">
        <v>2120</v>
      </c>
      <c r="C37" s="461">
        <v>1206439</v>
      </c>
      <c r="D37" s="461">
        <v>288392</v>
      </c>
      <c r="E37" s="461">
        <v>4408</v>
      </c>
      <c r="F37" s="461">
        <v>3449</v>
      </c>
      <c r="G37" s="461">
        <v>106</v>
      </c>
      <c r="H37" s="461">
        <v>0</v>
      </c>
      <c r="I37" s="462">
        <v>0</v>
      </c>
      <c r="J37" s="462">
        <v>0</v>
      </c>
      <c r="K37" s="1913">
        <f t="shared" si="2"/>
        <v>1502794</v>
      </c>
      <c r="L37" s="461">
        <v>1501951</v>
      </c>
    </row>
    <row r="38" spans="1:14" x14ac:dyDescent="0.2">
      <c r="A38" s="1431" t="s">
        <v>207</v>
      </c>
      <c r="B38" s="551">
        <v>2130</v>
      </c>
      <c r="C38" s="461">
        <v>502382</v>
      </c>
      <c r="D38" s="461">
        <v>83863</v>
      </c>
      <c r="E38" s="461">
        <v>8158</v>
      </c>
      <c r="F38" s="461">
        <v>21541</v>
      </c>
      <c r="G38" s="461">
        <v>0</v>
      </c>
      <c r="H38" s="461">
        <v>0</v>
      </c>
      <c r="I38" s="462">
        <v>0</v>
      </c>
      <c r="J38" s="462">
        <v>0</v>
      </c>
      <c r="K38" s="1913">
        <f t="shared" si="2"/>
        <v>615944</v>
      </c>
      <c r="L38" s="461">
        <v>615943</v>
      </c>
    </row>
    <row r="39" spans="1:14" x14ac:dyDescent="0.2">
      <c r="A39" s="1431" t="s">
        <v>208</v>
      </c>
      <c r="B39" s="551">
        <v>2140</v>
      </c>
      <c r="C39" s="461">
        <v>721425</v>
      </c>
      <c r="D39" s="461">
        <v>156555</v>
      </c>
      <c r="E39" s="461">
        <v>12444</v>
      </c>
      <c r="F39" s="461">
        <v>6414</v>
      </c>
      <c r="G39" s="461">
        <v>0</v>
      </c>
      <c r="H39" s="461">
        <v>0</v>
      </c>
      <c r="I39" s="462">
        <v>0</v>
      </c>
      <c r="J39" s="462">
        <v>0</v>
      </c>
      <c r="K39" s="1913">
        <f t="shared" si="2"/>
        <v>896838</v>
      </c>
      <c r="L39" s="461">
        <v>896838</v>
      </c>
    </row>
    <row r="40" spans="1:14" x14ac:dyDescent="0.2">
      <c r="A40" s="1431" t="s">
        <v>209</v>
      </c>
      <c r="B40" s="551">
        <v>2150</v>
      </c>
      <c r="C40" s="461">
        <v>1377344</v>
      </c>
      <c r="D40" s="461">
        <v>336780</v>
      </c>
      <c r="E40" s="461">
        <v>136460</v>
      </c>
      <c r="F40" s="461">
        <v>4655</v>
      </c>
      <c r="G40" s="461">
        <v>0</v>
      </c>
      <c r="H40" s="461">
        <v>0</v>
      </c>
      <c r="I40" s="462">
        <v>0</v>
      </c>
      <c r="J40" s="462">
        <v>0</v>
      </c>
      <c r="K40" s="1913">
        <f t="shared" si="2"/>
        <v>1855239</v>
      </c>
      <c r="L40" s="461">
        <v>1849912</v>
      </c>
    </row>
    <row r="41" spans="1:14" x14ac:dyDescent="0.2">
      <c r="A41" s="1431" t="s">
        <v>1767</v>
      </c>
      <c r="B41" s="551">
        <v>2190</v>
      </c>
      <c r="C41" s="461">
        <v>0</v>
      </c>
      <c r="D41" s="461">
        <v>0</v>
      </c>
      <c r="E41" s="461">
        <v>0</v>
      </c>
      <c r="F41" s="461">
        <v>0</v>
      </c>
      <c r="G41" s="461">
        <v>0</v>
      </c>
      <c r="H41" s="461">
        <v>0</v>
      </c>
      <c r="I41" s="462">
        <v>0</v>
      </c>
      <c r="J41" s="462">
        <v>0</v>
      </c>
      <c r="K41" s="1913">
        <f t="shared" si="2"/>
        <v>0</v>
      </c>
      <c r="L41" s="461">
        <v>0</v>
      </c>
    </row>
    <row r="42" spans="1:14" ht="12.75" customHeight="1" thickBot="1" x14ac:dyDescent="0.25">
      <c r="A42" s="1583" t="s">
        <v>580</v>
      </c>
      <c r="B42" s="1584" t="s">
        <v>739</v>
      </c>
      <c r="C42" s="1915">
        <f>SUM(C36:C41)</f>
        <v>5522842</v>
      </c>
      <c r="D42" s="1915">
        <f t="shared" ref="D42:L42" si="3">SUM(D36:D41)</f>
        <v>1242915</v>
      </c>
      <c r="E42" s="1915">
        <f t="shared" si="3"/>
        <v>169004</v>
      </c>
      <c r="F42" s="1915">
        <f t="shared" si="3"/>
        <v>55411</v>
      </c>
      <c r="G42" s="1915">
        <f t="shared" si="3"/>
        <v>1005</v>
      </c>
      <c r="H42" s="1915">
        <f t="shared" si="3"/>
        <v>0</v>
      </c>
      <c r="I42" s="1915">
        <f t="shared" si="3"/>
        <v>0</v>
      </c>
      <c r="J42" s="1915">
        <f t="shared" si="3"/>
        <v>0</v>
      </c>
      <c r="K42" s="1915">
        <f t="shared" si="3"/>
        <v>6991177</v>
      </c>
      <c r="L42" s="1915">
        <f t="shared" si="3"/>
        <v>6941768</v>
      </c>
    </row>
    <row r="43" spans="1:14" ht="15.75" customHeight="1" thickTop="1" x14ac:dyDescent="0.2">
      <c r="A43" s="557" t="s">
        <v>612</v>
      </c>
      <c r="B43" s="558"/>
      <c r="C43" s="1918"/>
      <c r="D43" s="1918"/>
      <c r="E43" s="1918"/>
      <c r="F43" s="1918"/>
      <c r="G43" s="1918"/>
      <c r="H43" s="1918"/>
      <c r="I43" s="1914"/>
      <c r="J43" s="1914"/>
      <c r="K43" s="1918"/>
      <c r="L43" s="1918"/>
    </row>
    <row r="44" spans="1:14" x14ac:dyDescent="0.2">
      <c r="A44" s="1431" t="s">
        <v>867</v>
      </c>
      <c r="B44" s="551">
        <v>2210</v>
      </c>
      <c r="C44" s="1833">
        <v>3349788</v>
      </c>
      <c r="D44" s="1833">
        <v>630605</v>
      </c>
      <c r="E44" s="1833">
        <v>1063887</v>
      </c>
      <c r="F44" s="1833">
        <v>530740</v>
      </c>
      <c r="G44" s="1833">
        <v>20244</v>
      </c>
      <c r="H44" s="1833">
        <v>3276</v>
      </c>
      <c r="I44" s="461">
        <v>0</v>
      </c>
      <c r="J44" s="461">
        <v>0</v>
      </c>
      <c r="K44" s="1919">
        <f>SUM(C44:J44)</f>
        <v>5598540</v>
      </c>
      <c r="L44" s="1833">
        <v>5905994</v>
      </c>
    </row>
    <row r="45" spans="1:14" x14ac:dyDescent="0.2">
      <c r="A45" s="1431" t="s">
        <v>868</v>
      </c>
      <c r="B45" s="551">
        <v>2220</v>
      </c>
      <c r="C45" s="461">
        <v>1187619</v>
      </c>
      <c r="D45" s="461">
        <v>278126</v>
      </c>
      <c r="E45" s="461">
        <v>31417</v>
      </c>
      <c r="F45" s="461">
        <v>124605</v>
      </c>
      <c r="G45" s="461">
        <v>7192</v>
      </c>
      <c r="H45" s="461">
        <v>0</v>
      </c>
      <c r="I45" s="461">
        <v>0</v>
      </c>
      <c r="J45" s="461">
        <v>0</v>
      </c>
      <c r="K45" s="1919">
        <f>SUM(C45:J45)</f>
        <v>1628959</v>
      </c>
      <c r="L45" s="461">
        <v>1640271</v>
      </c>
    </row>
    <row r="46" spans="1:14" x14ac:dyDescent="0.2">
      <c r="A46" s="1431" t="s">
        <v>869</v>
      </c>
      <c r="B46" s="551">
        <v>2230</v>
      </c>
      <c r="C46" s="461">
        <v>194701</v>
      </c>
      <c r="D46" s="461">
        <v>41608</v>
      </c>
      <c r="E46" s="461">
        <v>152359</v>
      </c>
      <c r="F46" s="461">
        <v>14346</v>
      </c>
      <c r="G46" s="461">
        <v>0</v>
      </c>
      <c r="H46" s="461">
        <v>0</v>
      </c>
      <c r="I46" s="461">
        <v>0</v>
      </c>
      <c r="J46" s="461">
        <v>0</v>
      </c>
      <c r="K46" s="1919">
        <f>SUM(C46:J46)</f>
        <v>403014</v>
      </c>
      <c r="L46" s="461">
        <v>406792</v>
      </c>
    </row>
    <row r="47" spans="1:14" ht="12.75" customHeight="1" thickBot="1" x14ac:dyDescent="0.25">
      <c r="A47" s="1583" t="s">
        <v>581</v>
      </c>
      <c r="B47" s="1584" t="s">
        <v>32</v>
      </c>
      <c r="C47" s="1915">
        <f>SUM(C44:C46)</f>
        <v>4732108</v>
      </c>
      <c r="D47" s="1915">
        <f t="shared" ref="D47:K47" si="4">SUM(D44:D46)</f>
        <v>950339</v>
      </c>
      <c r="E47" s="1915">
        <f t="shared" si="4"/>
        <v>1247663</v>
      </c>
      <c r="F47" s="1915">
        <f t="shared" si="4"/>
        <v>669691</v>
      </c>
      <c r="G47" s="1915">
        <f t="shared" si="4"/>
        <v>27436</v>
      </c>
      <c r="H47" s="1915">
        <f t="shared" si="4"/>
        <v>3276</v>
      </c>
      <c r="I47" s="1915">
        <f t="shared" si="4"/>
        <v>0</v>
      </c>
      <c r="J47" s="1915">
        <f t="shared" si="4"/>
        <v>0</v>
      </c>
      <c r="K47" s="1915">
        <f t="shared" si="4"/>
        <v>7630513</v>
      </c>
      <c r="L47" s="1915">
        <f>SUM(L44:L46)</f>
        <v>7953057</v>
      </c>
    </row>
    <row r="48" spans="1:14" ht="15.75" customHeight="1" thickTop="1" x14ac:dyDescent="0.2">
      <c r="A48" s="557" t="s">
        <v>630</v>
      </c>
      <c r="B48" s="558"/>
      <c r="C48" s="1918"/>
      <c r="D48" s="1918"/>
      <c r="E48" s="1918"/>
      <c r="F48" s="1918"/>
      <c r="G48" s="1918"/>
      <c r="H48" s="1918"/>
      <c r="I48" s="1914"/>
      <c r="J48" s="1914"/>
      <c r="K48" s="1918"/>
      <c r="L48" s="1918"/>
    </row>
    <row r="49" spans="1:14" x14ac:dyDescent="0.2">
      <c r="A49" s="1431" t="s">
        <v>870</v>
      </c>
      <c r="B49" s="551">
        <v>2310</v>
      </c>
      <c r="C49" s="1833">
        <v>34745</v>
      </c>
      <c r="D49" s="1833">
        <v>51589</v>
      </c>
      <c r="E49" s="1833">
        <v>312284</v>
      </c>
      <c r="F49" s="1833">
        <v>35447</v>
      </c>
      <c r="G49" s="1833">
        <v>116114</v>
      </c>
      <c r="H49" s="1833">
        <v>0</v>
      </c>
      <c r="I49" s="461">
        <v>0</v>
      </c>
      <c r="J49" s="461">
        <v>0</v>
      </c>
      <c r="K49" s="1919">
        <f>SUM(C49:J49)</f>
        <v>550179</v>
      </c>
      <c r="L49" s="1833">
        <v>679761</v>
      </c>
    </row>
    <row r="50" spans="1:14" x14ac:dyDescent="0.2">
      <c r="A50" s="1431" t="s">
        <v>871</v>
      </c>
      <c r="B50" s="551">
        <v>2320</v>
      </c>
      <c r="C50" s="461">
        <v>210169</v>
      </c>
      <c r="D50" s="461">
        <v>49258</v>
      </c>
      <c r="E50" s="461">
        <v>172661</v>
      </c>
      <c r="F50" s="461">
        <v>17979</v>
      </c>
      <c r="G50" s="461">
        <v>5574</v>
      </c>
      <c r="H50" s="461">
        <v>0</v>
      </c>
      <c r="I50" s="461">
        <v>0</v>
      </c>
      <c r="J50" s="461">
        <v>0</v>
      </c>
      <c r="K50" s="1919">
        <f>SUM(C50:J50)</f>
        <v>455641</v>
      </c>
      <c r="L50" s="461">
        <v>448913</v>
      </c>
    </row>
    <row r="51" spans="1:14" x14ac:dyDescent="0.2">
      <c r="A51" s="1431" t="s">
        <v>44</v>
      </c>
      <c r="B51" s="551">
        <v>2330</v>
      </c>
      <c r="C51" s="461">
        <v>131738</v>
      </c>
      <c r="D51" s="461">
        <v>21015</v>
      </c>
      <c r="E51" s="461">
        <v>16153</v>
      </c>
      <c r="F51" s="461">
        <v>6572</v>
      </c>
      <c r="G51" s="461">
        <v>0</v>
      </c>
      <c r="H51" s="461">
        <v>59</v>
      </c>
      <c r="I51" s="461">
        <v>0</v>
      </c>
      <c r="J51" s="461">
        <v>0</v>
      </c>
      <c r="K51" s="1919">
        <f>SUM(C51:J51)</f>
        <v>175537</v>
      </c>
      <c r="L51" s="461">
        <v>177737</v>
      </c>
    </row>
    <row r="52" spans="1:14" ht="22.5" x14ac:dyDescent="0.2">
      <c r="A52" s="1432" t="s">
        <v>315</v>
      </c>
      <c r="B52" s="559" t="s">
        <v>383</v>
      </c>
      <c r="C52" s="1828">
        <v>0</v>
      </c>
      <c r="D52" s="1828">
        <v>0</v>
      </c>
      <c r="E52" s="1828">
        <v>0</v>
      </c>
      <c r="F52" s="1828">
        <v>0</v>
      </c>
      <c r="G52" s="1828">
        <v>0</v>
      </c>
      <c r="H52" s="1828">
        <v>0</v>
      </c>
      <c r="I52" s="1828">
        <v>0</v>
      </c>
      <c r="J52" s="1828">
        <v>0</v>
      </c>
      <c r="K52" s="1919">
        <f>SUM(C52:J52)</f>
        <v>0</v>
      </c>
      <c r="L52" s="1828">
        <v>0</v>
      </c>
    </row>
    <row r="53" spans="1:14" ht="12.75" customHeight="1" thickBot="1" x14ac:dyDescent="0.25">
      <c r="A53" s="1583" t="s">
        <v>740</v>
      </c>
      <c r="B53" s="1584" t="s">
        <v>33</v>
      </c>
      <c r="C53" s="1915">
        <f>SUM(C49:C52)</f>
        <v>376652</v>
      </c>
      <c r="D53" s="1915">
        <f t="shared" ref="D53:L53" si="5">SUM(D49:D52)</f>
        <v>121862</v>
      </c>
      <c r="E53" s="1915">
        <f t="shared" si="5"/>
        <v>501098</v>
      </c>
      <c r="F53" s="1915">
        <f t="shared" si="5"/>
        <v>59998</v>
      </c>
      <c r="G53" s="1915">
        <f t="shared" si="5"/>
        <v>121688</v>
      </c>
      <c r="H53" s="1915">
        <f t="shared" si="5"/>
        <v>59</v>
      </c>
      <c r="I53" s="1915">
        <f t="shared" si="5"/>
        <v>0</v>
      </c>
      <c r="J53" s="1915">
        <f t="shared" si="5"/>
        <v>0</v>
      </c>
      <c r="K53" s="1915">
        <f t="shared" si="5"/>
        <v>1181357</v>
      </c>
      <c r="L53" s="1915">
        <f t="shared" si="5"/>
        <v>1306411</v>
      </c>
    </row>
    <row r="54" spans="1:14" ht="15.75" customHeight="1" thickTop="1" x14ac:dyDescent="0.2">
      <c r="A54" s="557" t="s">
        <v>631</v>
      </c>
      <c r="B54" s="558"/>
      <c r="C54" s="1918"/>
      <c r="D54" s="1918"/>
      <c r="E54" s="1918"/>
      <c r="F54" s="1918"/>
      <c r="G54" s="1918"/>
      <c r="H54" s="1918"/>
      <c r="I54" s="1914"/>
      <c r="J54" s="1914"/>
      <c r="K54" s="1918"/>
      <c r="L54" s="1918"/>
    </row>
    <row r="55" spans="1:14" x14ac:dyDescent="0.2">
      <c r="A55" s="1431" t="s">
        <v>1126</v>
      </c>
      <c r="B55" s="551">
        <v>2410</v>
      </c>
      <c r="C55" s="1833">
        <v>6242321</v>
      </c>
      <c r="D55" s="1833">
        <v>1394420</v>
      </c>
      <c r="E55" s="1833">
        <v>86476</v>
      </c>
      <c r="F55" s="1833">
        <v>255710</v>
      </c>
      <c r="G55" s="1833">
        <v>23991</v>
      </c>
      <c r="H55" s="1833">
        <v>0</v>
      </c>
      <c r="I55" s="461">
        <v>0</v>
      </c>
      <c r="J55" s="461">
        <v>0</v>
      </c>
      <c r="K55" s="1919">
        <f>SUM(C55:J55)</f>
        <v>8002918</v>
      </c>
      <c r="L55" s="1833">
        <v>8065408</v>
      </c>
    </row>
    <row r="56" spans="1:14" ht="12.75" customHeight="1" x14ac:dyDescent="0.2">
      <c r="A56" s="1435" t="s">
        <v>393</v>
      </c>
      <c r="B56" s="560">
        <v>2490</v>
      </c>
      <c r="C56" s="461">
        <v>0</v>
      </c>
      <c r="D56" s="461">
        <v>0</v>
      </c>
      <c r="E56" s="461">
        <v>0</v>
      </c>
      <c r="F56" s="461">
        <v>0</v>
      </c>
      <c r="G56" s="461">
        <v>0</v>
      </c>
      <c r="H56" s="461">
        <v>0</v>
      </c>
      <c r="I56" s="461">
        <v>0</v>
      </c>
      <c r="J56" s="461">
        <v>0</v>
      </c>
      <c r="K56" s="1919">
        <f>SUM(C56:J56)</f>
        <v>0</v>
      </c>
      <c r="L56" s="461">
        <v>0</v>
      </c>
    </row>
    <row r="57" spans="1:14" s="339" customFormat="1" ht="12.75" customHeight="1" thickBot="1" x14ac:dyDescent="0.25">
      <c r="A57" s="1583" t="s">
        <v>281</v>
      </c>
      <c r="B57" s="1585" t="s">
        <v>34</v>
      </c>
      <c r="C57" s="1920">
        <f>SUM(C55:C56)</f>
        <v>6242321</v>
      </c>
      <c r="D57" s="1920">
        <f t="shared" ref="D57:K57" si="6">SUM(D55:D56)</f>
        <v>1394420</v>
      </c>
      <c r="E57" s="1920">
        <f t="shared" si="6"/>
        <v>86476</v>
      </c>
      <c r="F57" s="1920">
        <f t="shared" si="6"/>
        <v>255710</v>
      </c>
      <c r="G57" s="1920">
        <f t="shared" si="6"/>
        <v>23991</v>
      </c>
      <c r="H57" s="1920">
        <f t="shared" si="6"/>
        <v>0</v>
      </c>
      <c r="I57" s="1920">
        <f t="shared" si="6"/>
        <v>0</v>
      </c>
      <c r="J57" s="1920">
        <f t="shared" si="6"/>
        <v>0</v>
      </c>
      <c r="K57" s="1920">
        <f t="shared" si="6"/>
        <v>8002918</v>
      </c>
      <c r="L57" s="1915">
        <f>SUM(L55:L56)</f>
        <v>8065408</v>
      </c>
      <c r="M57" s="546"/>
      <c r="N57" s="546"/>
    </row>
    <row r="58" spans="1:14" s="339" customFormat="1" ht="15.75" customHeight="1" thickTop="1" x14ac:dyDescent="0.2">
      <c r="A58" s="557" t="s">
        <v>632</v>
      </c>
      <c r="B58" s="558"/>
      <c r="C58" s="1921"/>
      <c r="D58" s="1918"/>
      <c r="E58" s="1918"/>
      <c r="F58" s="1918"/>
      <c r="G58" s="1918"/>
      <c r="H58" s="1918"/>
      <c r="I58" s="1914"/>
      <c r="J58" s="1914"/>
      <c r="K58" s="1918"/>
      <c r="L58" s="1918"/>
      <c r="M58" s="546"/>
      <c r="N58" s="546"/>
    </row>
    <row r="59" spans="1:14" s="339" customFormat="1" x14ac:dyDescent="0.2">
      <c r="A59" s="1431" t="s">
        <v>1127</v>
      </c>
      <c r="B59" s="551">
        <v>2510</v>
      </c>
      <c r="C59" s="1833">
        <v>147549</v>
      </c>
      <c r="D59" s="1833">
        <v>13393</v>
      </c>
      <c r="E59" s="1833">
        <v>0</v>
      </c>
      <c r="F59" s="1833">
        <v>0</v>
      </c>
      <c r="G59" s="1833">
        <v>0</v>
      </c>
      <c r="H59" s="1833">
        <v>0</v>
      </c>
      <c r="I59" s="461">
        <v>0</v>
      </c>
      <c r="J59" s="461">
        <v>0</v>
      </c>
      <c r="K59" s="1919">
        <f t="shared" ref="K59:K64" si="7">SUM(C59:J59)</f>
        <v>160942</v>
      </c>
      <c r="L59" s="1833">
        <v>162350</v>
      </c>
      <c r="M59" s="546"/>
      <c r="N59" s="546"/>
    </row>
    <row r="60" spans="1:14" s="339" customFormat="1" x14ac:dyDescent="0.2">
      <c r="A60" s="1431" t="s">
        <v>482</v>
      </c>
      <c r="B60" s="551">
        <v>2520</v>
      </c>
      <c r="C60" s="461">
        <v>401517</v>
      </c>
      <c r="D60" s="461">
        <v>68387</v>
      </c>
      <c r="E60" s="461">
        <v>6796</v>
      </c>
      <c r="F60" s="461">
        <v>12851</v>
      </c>
      <c r="G60" s="461">
        <v>4642</v>
      </c>
      <c r="H60" s="461">
        <v>0</v>
      </c>
      <c r="I60" s="461">
        <v>0</v>
      </c>
      <c r="J60" s="461">
        <v>0</v>
      </c>
      <c r="K60" s="1919">
        <f t="shared" si="7"/>
        <v>494193</v>
      </c>
      <c r="L60" s="461">
        <v>524624</v>
      </c>
      <c r="M60" s="546"/>
      <c r="N60" s="546"/>
    </row>
    <row r="61" spans="1:14" s="339" customFormat="1" x14ac:dyDescent="0.2">
      <c r="A61" s="1431" t="s">
        <v>206</v>
      </c>
      <c r="B61" s="551">
        <v>2540</v>
      </c>
      <c r="C61" s="461">
        <v>0</v>
      </c>
      <c r="D61" s="461">
        <v>0</v>
      </c>
      <c r="E61" s="461">
        <v>90958</v>
      </c>
      <c r="F61" s="461">
        <v>22</v>
      </c>
      <c r="G61" s="461">
        <v>2619070</v>
      </c>
      <c r="H61" s="461">
        <v>0</v>
      </c>
      <c r="I61" s="461">
        <v>0</v>
      </c>
      <c r="J61" s="461">
        <v>0</v>
      </c>
      <c r="K61" s="1919">
        <f t="shared" si="7"/>
        <v>2710050</v>
      </c>
      <c r="L61" s="461">
        <v>2831447</v>
      </c>
      <c r="M61" s="546"/>
      <c r="N61" s="546"/>
    </row>
    <row r="62" spans="1:14" s="339" customFormat="1" x14ac:dyDescent="0.2">
      <c r="A62" s="1431" t="s">
        <v>1009</v>
      </c>
      <c r="B62" s="551">
        <v>2550</v>
      </c>
      <c r="C62" s="461">
        <v>0</v>
      </c>
      <c r="D62" s="461">
        <v>0</v>
      </c>
      <c r="E62" s="461">
        <v>618082</v>
      </c>
      <c r="F62" s="461">
        <v>0</v>
      </c>
      <c r="G62" s="461">
        <v>0</v>
      </c>
      <c r="H62" s="461">
        <v>0</v>
      </c>
      <c r="I62" s="461">
        <v>0</v>
      </c>
      <c r="J62" s="461">
        <v>0</v>
      </c>
      <c r="K62" s="1919">
        <f t="shared" si="7"/>
        <v>618082</v>
      </c>
      <c r="L62" s="461">
        <v>618082</v>
      </c>
      <c r="M62" s="546"/>
      <c r="N62" s="546"/>
    </row>
    <row r="63" spans="1:14" s="546" customFormat="1" x14ac:dyDescent="0.2">
      <c r="A63" s="1431" t="s">
        <v>102</v>
      </c>
      <c r="B63" s="551">
        <v>2560</v>
      </c>
      <c r="C63" s="461">
        <v>1347883</v>
      </c>
      <c r="D63" s="461">
        <v>257132</v>
      </c>
      <c r="E63" s="461">
        <v>368025</v>
      </c>
      <c r="F63" s="461">
        <v>2040259</v>
      </c>
      <c r="G63" s="461">
        <v>207876</v>
      </c>
      <c r="H63" s="461">
        <v>0</v>
      </c>
      <c r="I63" s="461">
        <v>0</v>
      </c>
      <c r="J63" s="461">
        <v>0</v>
      </c>
      <c r="K63" s="1919">
        <f t="shared" si="7"/>
        <v>4221175</v>
      </c>
      <c r="L63" s="461">
        <v>3794253</v>
      </c>
    </row>
    <row r="64" spans="1:14" s="546" customFormat="1" x14ac:dyDescent="0.2">
      <c r="A64" s="1436" t="s">
        <v>103</v>
      </c>
      <c r="B64" s="561">
        <v>2570</v>
      </c>
      <c r="C64" s="1833">
        <v>218688</v>
      </c>
      <c r="D64" s="1833">
        <v>41880</v>
      </c>
      <c r="E64" s="1833">
        <v>761</v>
      </c>
      <c r="F64" s="1833">
        <v>5374</v>
      </c>
      <c r="G64" s="1833">
        <v>17261</v>
      </c>
      <c r="H64" s="1833">
        <v>0</v>
      </c>
      <c r="I64" s="461">
        <v>0</v>
      </c>
      <c r="J64" s="461">
        <v>0</v>
      </c>
      <c r="K64" s="1919">
        <f t="shared" si="7"/>
        <v>283964</v>
      </c>
      <c r="L64" s="1833">
        <v>278154</v>
      </c>
    </row>
    <row r="65" spans="1:14" s="339" customFormat="1" ht="12.75" customHeight="1" thickBot="1" x14ac:dyDescent="0.25">
      <c r="A65" s="1583" t="s">
        <v>742</v>
      </c>
      <c r="B65" s="1584" t="s">
        <v>35</v>
      </c>
      <c r="C65" s="1915">
        <f>SUM(C59:C64)</f>
        <v>2115637</v>
      </c>
      <c r="D65" s="1915">
        <f t="shared" ref="D65:L65" si="8">SUM(D59:D64)</f>
        <v>380792</v>
      </c>
      <c r="E65" s="1915">
        <f t="shared" si="8"/>
        <v>1084622</v>
      </c>
      <c r="F65" s="1915">
        <f t="shared" si="8"/>
        <v>2058506</v>
      </c>
      <c r="G65" s="1915">
        <f t="shared" si="8"/>
        <v>2848849</v>
      </c>
      <c r="H65" s="1915">
        <f t="shared" si="8"/>
        <v>0</v>
      </c>
      <c r="I65" s="1915">
        <f t="shared" si="8"/>
        <v>0</v>
      </c>
      <c r="J65" s="1915">
        <f t="shared" si="8"/>
        <v>0</v>
      </c>
      <c r="K65" s="1915">
        <f t="shared" si="8"/>
        <v>8488406</v>
      </c>
      <c r="L65" s="1915">
        <f t="shared" si="8"/>
        <v>8208910</v>
      </c>
      <c r="M65" s="546"/>
      <c r="N65" s="546"/>
    </row>
    <row r="66" spans="1:14" s="339" customFormat="1" ht="15.75" customHeight="1" thickTop="1" x14ac:dyDescent="0.2">
      <c r="A66" s="557" t="s">
        <v>633</v>
      </c>
      <c r="B66" s="562"/>
      <c r="C66" s="1914"/>
      <c r="D66" s="1914"/>
      <c r="E66" s="1914"/>
      <c r="F66" s="1914"/>
      <c r="G66" s="1914"/>
      <c r="H66" s="1914"/>
      <c r="I66" s="1914"/>
      <c r="J66" s="1914"/>
      <c r="K66" s="1918"/>
      <c r="L66" s="1918"/>
      <c r="M66" s="546"/>
      <c r="N66" s="546"/>
    </row>
    <row r="67" spans="1:14" s="339" customFormat="1" x14ac:dyDescent="0.2">
      <c r="A67" s="1431" t="s">
        <v>1119</v>
      </c>
      <c r="B67" s="551">
        <v>2610</v>
      </c>
      <c r="C67" s="461">
        <v>0</v>
      </c>
      <c r="D67" s="461">
        <v>0</v>
      </c>
      <c r="E67" s="461">
        <v>0</v>
      </c>
      <c r="F67" s="461">
        <v>0</v>
      </c>
      <c r="G67" s="461">
        <v>0</v>
      </c>
      <c r="H67" s="461">
        <v>0</v>
      </c>
      <c r="I67" s="461">
        <v>0</v>
      </c>
      <c r="J67" s="461">
        <v>0</v>
      </c>
      <c r="K67" s="1919">
        <f>SUM(C67:J67)</f>
        <v>0</v>
      </c>
      <c r="L67" s="1833">
        <v>0</v>
      </c>
      <c r="M67" s="546"/>
      <c r="N67" s="546"/>
    </row>
    <row r="68" spans="1:14" s="339" customFormat="1" x14ac:dyDescent="0.2">
      <c r="A68" s="1431" t="s">
        <v>627</v>
      </c>
      <c r="B68" s="551">
        <v>2620</v>
      </c>
      <c r="C68" s="461">
        <v>0</v>
      </c>
      <c r="D68" s="461">
        <v>0</v>
      </c>
      <c r="E68" s="461">
        <v>0</v>
      </c>
      <c r="F68" s="461">
        <v>0</v>
      </c>
      <c r="G68" s="461">
        <v>0</v>
      </c>
      <c r="H68" s="461">
        <v>0</v>
      </c>
      <c r="I68" s="461">
        <v>0</v>
      </c>
      <c r="J68" s="461">
        <v>0</v>
      </c>
      <c r="K68" s="1919">
        <f>SUM(C68:J68)</f>
        <v>0</v>
      </c>
      <c r="L68" s="461">
        <v>0</v>
      </c>
      <c r="M68" s="546"/>
      <c r="N68" s="546"/>
    </row>
    <row r="69" spans="1:14" s="339" customFormat="1" x14ac:dyDescent="0.2">
      <c r="A69" s="1431" t="s">
        <v>1120</v>
      </c>
      <c r="B69" s="551">
        <v>2630</v>
      </c>
      <c r="C69" s="461">
        <v>398752</v>
      </c>
      <c r="D69" s="461">
        <v>88063</v>
      </c>
      <c r="E69" s="461">
        <v>112130</v>
      </c>
      <c r="F69" s="461">
        <v>14812</v>
      </c>
      <c r="G69" s="461">
        <v>8703</v>
      </c>
      <c r="H69" s="461">
        <v>0</v>
      </c>
      <c r="I69" s="461">
        <v>0</v>
      </c>
      <c r="J69" s="461">
        <v>0</v>
      </c>
      <c r="K69" s="1919">
        <f>SUM(C69:J69)</f>
        <v>622460</v>
      </c>
      <c r="L69" s="461">
        <v>616303</v>
      </c>
      <c r="M69" s="546"/>
      <c r="N69" s="546"/>
    </row>
    <row r="70" spans="1:14" s="339" customFormat="1" x14ac:dyDescent="0.2">
      <c r="A70" s="1431" t="s">
        <v>422</v>
      </c>
      <c r="B70" s="551">
        <v>2640</v>
      </c>
      <c r="C70" s="461">
        <v>510927</v>
      </c>
      <c r="D70" s="461">
        <v>88054</v>
      </c>
      <c r="E70" s="461">
        <v>133850</v>
      </c>
      <c r="F70" s="461">
        <v>5937</v>
      </c>
      <c r="G70" s="461">
        <v>416</v>
      </c>
      <c r="H70" s="461">
        <v>0</v>
      </c>
      <c r="I70" s="461">
        <v>0</v>
      </c>
      <c r="J70" s="461">
        <v>0</v>
      </c>
      <c r="K70" s="1919">
        <f>SUM(C70:J70)</f>
        <v>739184</v>
      </c>
      <c r="L70" s="461">
        <v>755900</v>
      </c>
      <c r="M70" s="546"/>
      <c r="N70" s="546"/>
    </row>
    <row r="71" spans="1:14" s="339" customFormat="1" x14ac:dyDescent="0.2">
      <c r="A71" s="1431" t="s">
        <v>423</v>
      </c>
      <c r="B71" s="551">
        <v>2660</v>
      </c>
      <c r="C71" s="461">
        <v>685815</v>
      </c>
      <c r="D71" s="461">
        <v>102058</v>
      </c>
      <c r="E71" s="461">
        <v>1613899</v>
      </c>
      <c r="F71" s="461">
        <v>9035</v>
      </c>
      <c r="G71" s="461">
        <v>179537</v>
      </c>
      <c r="H71" s="461">
        <v>34787</v>
      </c>
      <c r="I71" s="461">
        <v>0</v>
      </c>
      <c r="J71" s="461">
        <v>0</v>
      </c>
      <c r="K71" s="1919">
        <f>SUM(C71:J71)</f>
        <v>2625131</v>
      </c>
      <c r="L71" s="461">
        <v>1794365</v>
      </c>
      <c r="M71" s="546"/>
      <c r="N71" s="546"/>
    </row>
    <row r="72" spans="1:14" s="339" customFormat="1" ht="12.75" customHeight="1" thickBot="1" x14ac:dyDescent="0.25">
      <c r="A72" s="1583" t="s">
        <v>37</v>
      </c>
      <c r="B72" s="1586" t="s">
        <v>36</v>
      </c>
      <c r="C72" s="1915">
        <f>SUM(C67:C71)</f>
        <v>1595494</v>
      </c>
      <c r="D72" s="1915">
        <f t="shared" ref="D72:K72" si="9">SUM(D67:D71)</f>
        <v>278175</v>
      </c>
      <c r="E72" s="1915">
        <f t="shared" si="9"/>
        <v>1859879</v>
      </c>
      <c r="F72" s="1915">
        <f t="shared" si="9"/>
        <v>29784</v>
      </c>
      <c r="G72" s="1915">
        <f t="shared" si="9"/>
        <v>188656</v>
      </c>
      <c r="H72" s="1915">
        <f t="shared" si="9"/>
        <v>34787</v>
      </c>
      <c r="I72" s="1915">
        <f t="shared" si="9"/>
        <v>0</v>
      </c>
      <c r="J72" s="1915">
        <f t="shared" si="9"/>
        <v>0</v>
      </c>
      <c r="K72" s="1915">
        <f t="shared" si="9"/>
        <v>3986775</v>
      </c>
      <c r="L72" s="1915">
        <f>SUM(L67:L71)</f>
        <v>3166568</v>
      </c>
      <c r="M72" s="546"/>
      <c r="N72" s="546"/>
    </row>
    <row r="73" spans="1:14" s="339" customFormat="1" ht="14.25" thickTop="1" thickBot="1" x14ac:dyDescent="0.25">
      <c r="A73" s="1437" t="s">
        <v>1036</v>
      </c>
      <c r="B73" s="563" t="s">
        <v>594</v>
      </c>
      <c r="C73" s="1877">
        <v>63697</v>
      </c>
      <c r="D73" s="1877">
        <v>10152</v>
      </c>
      <c r="E73" s="1877">
        <v>2643</v>
      </c>
      <c r="F73" s="1877">
        <v>151</v>
      </c>
      <c r="G73" s="1877">
        <v>0</v>
      </c>
      <c r="H73" s="1877">
        <v>0</v>
      </c>
      <c r="I73" s="1875">
        <v>742</v>
      </c>
      <c r="J73" s="1875">
        <v>0</v>
      </c>
      <c r="K73" s="1915">
        <f>SUM(C73:J73)</f>
        <v>77385</v>
      </c>
      <c r="L73" s="1875">
        <v>76803</v>
      </c>
      <c r="M73" s="546"/>
      <c r="N73" s="546"/>
    </row>
    <row r="74" spans="1:14" ht="12.75" customHeight="1" thickTop="1" thickBot="1" x14ac:dyDescent="0.25">
      <c r="A74" s="1583" t="s">
        <v>864</v>
      </c>
      <c r="B74" s="1587">
        <v>2000</v>
      </c>
      <c r="C74" s="1922">
        <f>SUM(C42,C47,C53,C57,C65,C72,C73)</f>
        <v>20648751</v>
      </c>
      <c r="D74" s="1922">
        <f t="shared" ref="D74:K74" si="10">SUM(D42,D47,D53,D57,D65,D72,D73)</f>
        <v>4378655</v>
      </c>
      <c r="E74" s="1922">
        <f t="shared" si="10"/>
        <v>4951385</v>
      </c>
      <c r="F74" s="1922">
        <f t="shared" si="10"/>
        <v>3129251</v>
      </c>
      <c r="G74" s="1922">
        <f t="shared" si="10"/>
        <v>3211625</v>
      </c>
      <c r="H74" s="1922">
        <f t="shared" si="10"/>
        <v>38122</v>
      </c>
      <c r="I74" s="1922">
        <f t="shared" si="10"/>
        <v>742</v>
      </c>
      <c r="J74" s="1922">
        <f t="shared" si="10"/>
        <v>0</v>
      </c>
      <c r="K74" s="1922">
        <f t="shared" si="10"/>
        <v>36358531</v>
      </c>
      <c r="L74" s="1922">
        <f>SUM(L42,L47,L53,L57,L65,L72,L73)</f>
        <v>35718925</v>
      </c>
    </row>
    <row r="75" spans="1:14" s="255" customFormat="1" ht="15.75" customHeight="1" thickTop="1" thickBot="1" x14ac:dyDescent="0.25">
      <c r="A75" s="1528" t="s">
        <v>49</v>
      </c>
      <c r="B75" s="1529" t="s">
        <v>595</v>
      </c>
      <c r="C75" s="1877">
        <v>1150968</v>
      </c>
      <c r="D75" s="1877">
        <v>139265</v>
      </c>
      <c r="E75" s="1877">
        <v>161305</v>
      </c>
      <c r="F75" s="1877">
        <v>53044</v>
      </c>
      <c r="G75" s="1877">
        <v>273</v>
      </c>
      <c r="H75" s="1877">
        <v>0</v>
      </c>
      <c r="I75" s="1875">
        <v>0</v>
      </c>
      <c r="J75" s="1875">
        <v>0</v>
      </c>
      <c r="K75" s="1915">
        <f>SUM(C75:J75)</f>
        <v>1504855</v>
      </c>
      <c r="L75" s="1875">
        <v>1541413</v>
      </c>
      <c r="M75" s="550"/>
      <c r="N75" s="550"/>
    </row>
    <row r="76" spans="1:14" s="564" customFormat="1" ht="15.75" customHeight="1" thickTop="1" x14ac:dyDescent="0.2">
      <c r="A76" s="1530" t="s">
        <v>382</v>
      </c>
      <c r="B76" s="1527" t="s">
        <v>914</v>
      </c>
      <c r="C76" s="1916"/>
      <c r="D76" s="1916"/>
      <c r="E76" s="1914"/>
      <c r="F76" s="1916"/>
      <c r="G76" s="1916"/>
      <c r="H76" s="1914"/>
      <c r="I76" s="1914"/>
      <c r="J76" s="1914"/>
      <c r="K76" s="1914"/>
      <c r="L76" s="1914"/>
      <c r="M76" s="180"/>
      <c r="N76" s="180"/>
    </row>
    <row r="77" spans="1:14" s="255" customFormat="1" ht="15.75" customHeight="1" x14ac:dyDescent="0.2">
      <c r="A77" s="555" t="s">
        <v>634</v>
      </c>
      <c r="B77" s="556"/>
      <c r="C77" s="1914"/>
      <c r="D77" s="1914"/>
      <c r="E77" s="1917"/>
      <c r="F77" s="1914"/>
      <c r="G77" s="1914"/>
      <c r="H77" s="1917"/>
      <c r="I77" s="1914"/>
      <c r="J77" s="1914"/>
      <c r="K77" s="1917"/>
      <c r="L77" s="1917"/>
      <c r="M77" s="550"/>
      <c r="N77" s="550"/>
    </row>
    <row r="78" spans="1:14" x14ac:dyDescent="0.2">
      <c r="A78" s="1431" t="s">
        <v>516</v>
      </c>
      <c r="B78" s="551">
        <v>4110</v>
      </c>
      <c r="C78" s="1914"/>
      <c r="D78" s="1914"/>
      <c r="E78" s="1833">
        <v>80</v>
      </c>
      <c r="F78" s="1914"/>
      <c r="G78" s="1914"/>
      <c r="H78" s="1923">
        <v>495070</v>
      </c>
      <c r="I78" s="469"/>
      <c r="J78" s="469"/>
      <c r="K78" s="1913">
        <f t="shared" ref="K78:K83" si="11">SUM(C78:J78)</f>
        <v>495150</v>
      </c>
      <c r="L78" s="1833">
        <v>495625</v>
      </c>
    </row>
    <row r="79" spans="1:14" x14ac:dyDescent="0.2">
      <c r="A79" s="1431" t="s">
        <v>321</v>
      </c>
      <c r="B79" s="551">
        <v>4120</v>
      </c>
      <c r="C79" s="1914"/>
      <c r="D79" s="1914"/>
      <c r="E79" s="461">
        <v>0</v>
      </c>
      <c r="F79" s="1914"/>
      <c r="G79" s="1914"/>
      <c r="H79" s="461">
        <v>0</v>
      </c>
      <c r="I79" s="469"/>
      <c r="J79" s="469"/>
      <c r="K79" s="1913">
        <f t="shared" si="11"/>
        <v>0</v>
      </c>
      <c r="L79" s="461">
        <v>0</v>
      </c>
    </row>
    <row r="80" spans="1:14" x14ac:dyDescent="0.2">
      <c r="A80" s="1431" t="s">
        <v>322</v>
      </c>
      <c r="B80" s="551">
        <v>4130</v>
      </c>
      <c r="C80" s="1914"/>
      <c r="D80" s="1914"/>
      <c r="E80" s="461">
        <v>0</v>
      </c>
      <c r="F80" s="1914"/>
      <c r="G80" s="1914"/>
      <c r="H80" s="461">
        <v>0</v>
      </c>
      <c r="I80" s="469"/>
      <c r="J80" s="469"/>
      <c r="K80" s="1913">
        <f t="shared" si="11"/>
        <v>0</v>
      </c>
      <c r="L80" s="461">
        <v>0</v>
      </c>
    </row>
    <row r="81" spans="1:12" x14ac:dyDescent="0.2">
      <c r="A81" s="1431" t="s">
        <v>720</v>
      </c>
      <c r="B81" s="551">
        <v>4140</v>
      </c>
      <c r="C81" s="1914"/>
      <c r="D81" s="1914"/>
      <c r="E81" s="461">
        <v>0</v>
      </c>
      <c r="F81" s="1914"/>
      <c r="G81" s="1914"/>
      <c r="H81" s="461">
        <v>0</v>
      </c>
      <c r="I81" s="469"/>
      <c r="J81" s="469"/>
      <c r="K81" s="1913">
        <f t="shared" si="11"/>
        <v>0</v>
      </c>
      <c r="L81" s="461">
        <v>0</v>
      </c>
    </row>
    <row r="82" spans="1:12" x14ac:dyDescent="0.2">
      <c r="A82" s="1431" t="s">
        <v>88</v>
      </c>
      <c r="B82" s="551">
        <v>4170</v>
      </c>
      <c r="C82" s="1914"/>
      <c r="D82" s="1914"/>
      <c r="E82" s="461">
        <v>0</v>
      </c>
      <c r="F82" s="1914"/>
      <c r="G82" s="1914"/>
      <c r="H82" s="461">
        <v>0</v>
      </c>
      <c r="I82" s="469"/>
      <c r="J82" s="469"/>
      <c r="K82" s="1913">
        <f t="shared" si="11"/>
        <v>0</v>
      </c>
      <c r="L82" s="461">
        <v>0</v>
      </c>
    </row>
    <row r="83" spans="1:12" x14ac:dyDescent="0.2">
      <c r="A83" s="1435" t="s">
        <v>721</v>
      </c>
      <c r="B83" s="560">
        <v>4190</v>
      </c>
      <c r="C83" s="1914"/>
      <c r="D83" s="1914"/>
      <c r="E83" s="461">
        <v>0</v>
      </c>
      <c r="F83" s="1914"/>
      <c r="G83" s="1914"/>
      <c r="H83" s="461">
        <v>0</v>
      </c>
      <c r="I83" s="469"/>
      <c r="J83" s="469"/>
      <c r="K83" s="1913">
        <f t="shared" si="11"/>
        <v>0</v>
      </c>
      <c r="L83" s="461">
        <v>904</v>
      </c>
    </row>
    <row r="84" spans="1:12" ht="13.5" thickBot="1" x14ac:dyDescent="0.25">
      <c r="A84" s="1583" t="s">
        <v>1564</v>
      </c>
      <c r="B84" s="1588">
        <v>4100</v>
      </c>
      <c r="C84" s="1914"/>
      <c r="D84" s="1914"/>
      <c r="E84" s="1915">
        <f>SUM(E78:E83)</f>
        <v>80</v>
      </c>
      <c r="F84" s="1914"/>
      <c r="G84" s="1914"/>
      <c r="H84" s="1915">
        <f>SUM(H78:H83)</f>
        <v>495070</v>
      </c>
      <c r="I84" s="469"/>
      <c r="J84" s="469"/>
      <c r="K84" s="1915">
        <f>SUM(K78:K83)</f>
        <v>495150</v>
      </c>
      <c r="L84" s="1915">
        <f>SUM(L78:L83)</f>
        <v>496529</v>
      </c>
    </row>
    <row r="85" spans="1:12" ht="12.75" customHeight="1" thickTop="1" thickBot="1" x14ac:dyDescent="0.25">
      <c r="A85" s="1438" t="s">
        <v>273</v>
      </c>
      <c r="B85" s="565">
        <v>4210</v>
      </c>
      <c r="C85" s="1914"/>
      <c r="D85" s="1914"/>
      <c r="E85" s="1924"/>
      <c r="F85" s="1914"/>
      <c r="G85" s="1914"/>
      <c r="H85" s="1880">
        <v>0</v>
      </c>
      <c r="I85" s="469"/>
      <c r="J85" s="469"/>
      <c r="K85" s="1925">
        <f>H85</f>
        <v>0</v>
      </c>
      <c r="L85" s="1876">
        <v>0</v>
      </c>
    </row>
    <row r="86" spans="1:12" ht="12.75" customHeight="1" thickTop="1" thickBot="1" x14ac:dyDescent="0.25">
      <c r="A86" s="1439" t="s">
        <v>722</v>
      </c>
      <c r="B86" s="566">
        <v>4220</v>
      </c>
      <c r="C86" s="1914"/>
      <c r="D86" s="1914"/>
      <c r="E86" s="1926"/>
      <c r="F86" s="1914"/>
      <c r="G86" s="1914"/>
      <c r="H86" s="461">
        <v>0</v>
      </c>
      <c r="I86" s="469"/>
      <c r="J86" s="469"/>
      <c r="K86" s="1925">
        <f t="shared" ref="K86:K98" si="12">H86</f>
        <v>0</v>
      </c>
      <c r="L86" s="1876">
        <v>0</v>
      </c>
    </row>
    <row r="87" spans="1:12" ht="14.25" thickTop="1" thickBot="1" x14ac:dyDescent="0.25">
      <c r="A87" s="1440" t="s">
        <v>723</v>
      </c>
      <c r="B87" s="567">
        <v>4230</v>
      </c>
      <c r="C87" s="1914"/>
      <c r="D87" s="1914"/>
      <c r="E87" s="1926"/>
      <c r="F87" s="1914"/>
      <c r="G87" s="1914"/>
      <c r="H87" s="461">
        <v>0</v>
      </c>
      <c r="I87" s="469"/>
      <c r="J87" s="469"/>
      <c r="K87" s="1925">
        <f t="shared" si="12"/>
        <v>0</v>
      </c>
      <c r="L87" s="1876">
        <v>0</v>
      </c>
    </row>
    <row r="88" spans="1:12" ht="12.75" customHeight="1" thickTop="1" thickBot="1" x14ac:dyDescent="0.25">
      <c r="A88" s="1440" t="s">
        <v>788</v>
      </c>
      <c r="B88" s="567">
        <v>4240</v>
      </c>
      <c r="C88" s="1914"/>
      <c r="D88" s="1914"/>
      <c r="E88" s="1926"/>
      <c r="F88" s="1914"/>
      <c r="G88" s="1914"/>
      <c r="H88" s="461">
        <v>0</v>
      </c>
      <c r="I88" s="469"/>
      <c r="J88" s="469"/>
      <c r="K88" s="1925">
        <f t="shared" si="12"/>
        <v>0</v>
      </c>
      <c r="L88" s="1876">
        <v>0</v>
      </c>
    </row>
    <row r="89" spans="1:12" ht="12.75" customHeight="1" thickTop="1" thickBot="1" x14ac:dyDescent="0.25">
      <c r="A89" s="1440" t="s">
        <v>724</v>
      </c>
      <c r="B89" s="567">
        <v>4270</v>
      </c>
      <c r="C89" s="1914"/>
      <c r="D89" s="1914"/>
      <c r="E89" s="1926"/>
      <c r="F89" s="1914"/>
      <c r="G89" s="1914"/>
      <c r="H89" s="461">
        <v>0</v>
      </c>
      <c r="I89" s="469"/>
      <c r="J89" s="469"/>
      <c r="K89" s="1925">
        <f t="shared" si="12"/>
        <v>0</v>
      </c>
      <c r="L89" s="1876">
        <v>0</v>
      </c>
    </row>
    <row r="90" spans="1:12" ht="12.75" customHeight="1" thickTop="1" thickBot="1" x14ac:dyDescent="0.25">
      <c r="A90" s="1440" t="s">
        <v>709</v>
      </c>
      <c r="B90" s="567">
        <v>4280</v>
      </c>
      <c r="C90" s="1914"/>
      <c r="D90" s="1914"/>
      <c r="E90" s="1926"/>
      <c r="F90" s="1914"/>
      <c r="G90" s="1914"/>
      <c r="H90" s="461">
        <v>0</v>
      </c>
      <c r="I90" s="469"/>
      <c r="J90" s="469"/>
      <c r="K90" s="1925">
        <f t="shared" si="12"/>
        <v>0</v>
      </c>
      <c r="L90" s="1876">
        <v>0</v>
      </c>
    </row>
    <row r="91" spans="1:12" ht="12.75" customHeight="1" thickTop="1" thickBot="1" x14ac:dyDescent="0.25">
      <c r="A91" s="1440" t="s">
        <v>710</v>
      </c>
      <c r="B91" s="567">
        <v>4290</v>
      </c>
      <c r="C91" s="1914"/>
      <c r="D91" s="1914"/>
      <c r="E91" s="1926"/>
      <c r="F91" s="1914"/>
      <c r="G91" s="1914"/>
      <c r="H91" s="461">
        <v>0</v>
      </c>
      <c r="I91" s="469"/>
      <c r="J91" s="469"/>
      <c r="K91" s="1925">
        <f t="shared" si="12"/>
        <v>0</v>
      </c>
      <c r="L91" s="1876">
        <v>0</v>
      </c>
    </row>
    <row r="92" spans="1:12" ht="14.25" thickTop="1" thickBot="1" x14ac:dyDescent="0.25">
      <c r="A92" s="1589" t="s">
        <v>1640</v>
      </c>
      <c r="B92" s="1588">
        <v>4200</v>
      </c>
      <c r="C92" s="1914"/>
      <c r="D92" s="1914"/>
      <c r="E92" s="1926"/>
      <c r="F92" s="1914"/>
      <c r="G92" s="1914"/>
      <c r="H92" s="1927">
        <f>SUM(H85:H91)</f>
        <v>0</v>
      </c>
      <c r="I92" s="469"/>
      <c r="J92" s="469"/>
      <c r="K92" s="1925">
        <f t="shared" si="12"/>
        <v>0</v>
      </c>
      <c r="L92" s="1927">
        <f>SUM(L85:L91)</f>
        <v>0</v>
      </c>
    </row>
    <row r="93" spans="1:12" ht="14.25" thickTop="1" thickBot="1" x14ac:dyDescent="0.25">
      <c r="A93" s="1439" t="s">
        <v>711</v>
      </c>
      <c r="B93" s="568">
        <v>4310</v>
      </c>
      <c r="C93" s="1914"/>
      <c r="D93" s="1914"/>
      <c r="E93" s="1926"/>
      <c r="F93" s="1914"/>
      <c r="G93" s="1914"/>
      <c r="H93" s="1833">
        <v>0</v>
      </c>
      <c r="I93" s="469"/>
      <c r="J93" s="469"/>
      <c r="K93" s="1925">
        <f t="shared" si="12"/>
        <v>0</v>
      </c>
      <c r="L93" s="1877">
        <v>0</v>
      </c>
    </row>
    <row r="94" spans="1:12" ht="12.75" customHeight="1" thickTop="1" thickBot="1" x14ac:dyDescent="0.25">
      <c r="A94" s="1440" t="s">
        <v>712</v>
      </c>
      <c r="B94" s="567">
        <v>4320</v>
      </c>
      <c r="C94" s="1914"/>
      <c r="D94" s="1914"/>
      <c r="E94" s="1926"/>
      <c r="F94" s="1914"/>
      <c r="G94" s="1914"/>
      <c r="H94" s="461">
        <v>0</v>
      </c>
      <c r="I94" s="469"/>
      <c r="J94" s="469"/>
      <c r="K94" s="1925">
        <f t="shared" si="12"/>
        <v>0</v>
      </c>
      <c r="L94" s="1876">
        <v>0</v>
      </c>
    </row>
    <row r="95" spans="1:12" ht="15" customHeight="1" thickTop="1" thickBot="1" x14ac:dyDescent="0.25">
      <c r="A95" s="1440" t="s">
        <v>1567</v>
      </c>
      <c r="B95" s="567">
        <v>4330</v>
      </c>
      <c r="C95" s="1914"/>
      <c r="D95" s="1914"/>
      <c r="E95" s="1926"/>
      <c r="F95" s="1914"/>
      <c r="G95" s="1914"/>
      <c r="H95" s="461">
        <v>0</v>
      </c>
      <c r="I95" s="469"/>
      <c r="J95" s="469"/>
      <c r="K95" s="1925">
        <f t="shared" si="12"/>
        <v>0</v>
      </c>
      <c r="L95" s="1876">
        <v>0</v>
      </c>
    </row>
    <row r="96" spans="1:12" ht="14.25" thickTop="1" thickBot="1" x14ac:dyDescent="0.25">
      <c r="A96" s="1440" t="s">
        <v>713</v>
      </c>
      <c r="B96" s="567">
        <v>4340</v>
      </c>
      <c r="C96" s="1914"/>
      <c r="D96" s="1914"/>
      <c r="E96" s="1926"/>
      <c r="F96" s="1914"/>
      <c r="G96" s="1914"/>
      <c r="H96" s="461">
        <v>0</v>
      </c>
      <c r="I96" s="469"/>
      <c r="J96" s="469"/>
      <c r="K96" s="1925">
        <f t="shared" si="12"/>
        <v>0</v>
      </c>
      <c r="L96" s="1876">
        <v>0</v>
      </c>
    </row>
    <row r="97" spans="1:14" ht="12.75" customHeight="1" thickTop="1" thickBot="1" x14ac:dyDescent="0.25">
      <c r="A97" s="1440" t="s">
        <v>786</v>
      </c>
      <c r="B97" s="567">
        <v>4370</v>
      </c>
      <c r="C97" s="1914"/>
      <c r="D97" s="1914"/>
      <c r="E97" s="1926"/>
      <c r="F97" s="1914"/>
      <c r="G97" s="1914"/>
      <c r="H97" s="461">
        <v>0</v>
      </c>
      <c r="I97" s="469"/>
      <c r="J97" s="469"/>
      <c r="K97" s="1925">
        <f t="shared" si="12"/>
        <v>0</v>
      </c>
      <c r="L97" s="1876">
        <v>0</v>
      </c>
    </row>
    <row r="98" spans="1:14" ht="14.25" thickTop="1" thickBot="1" x14ac:dyDescent="0.25">
      <c r="A98" s="1440" t="s">
        <v>787</v>
      </c>
      <c r="B98" s="567">
        <v>4380</v>
      </c>
      <c r="C98" s="1914"/>
      <c r="D98" s="1914"/>
      <c r="E98" s="1928"/>
      <c r="F98" s="1914"/>
      <c r="G98" s="1914"/>
      <c r="H98" s="461">
        <v>0</v>
      </c>
      <c r="I98" s="469"/>
      <c r="J98" s="469"/>
      <c r="K98" s="1925">
        <f t="shared" si="12"/>
        <v>0</v>
      </c>
      <c r="L98" s="1876">
        <v>0</v>
      </c>
    </row>
    <row r="99" spans="1:14" ht="14.25" thickTop="1" thickBot="1" x14ac:dyDescent="0.25">
      <c r="A99" s="1440" t="s">
        <v>384</v>
      </c>
      <c r="B99" s="567">
        <v>4390</v>
      </c>
      <c r="C99" s="1914"/>
      <c r="D99" s="1914"/>
      <c r="E99" s="1877">
        <v>0</v>
      </c>
      <c r="F99" s="1914"/>
      <c r="G99" s="1914"/>
      <c r="H99" s="461">
        <v>0</v>
      </c>
      <c r="I99" s="469"/>
      <c r="J99" s="469"/>
      <c r="K99" s="1925">
        <f>SUM(E99,H99)</f>
        <v>0</v>
      </c>
      <c r="L99" s="1876">
        <v>0</v>
      </c>
    </row>
    <row r="100" spans="1:14" ht="14.25" thickTop="1" thickBot="1" x14ac:dyDescent="0.25">
      <c r="A100" s="1589" t="s">
        <v>1565</v>
      </c>
      <c r="B100" s="1590">
        <v>4300</v>
      </c>
      <c r="C100" s="1914"/>
      <c r="D100" s="1914"/>
      <c r="E100" s="1925">
        <f>SUM(E93:E99)</f>
        <v>0</v>
      </c>
      <c r="F100" s="1914"/>
      <c r="G100" s="1914"/>
      <c r="H100" s="1925">
        <f>SUM(H93:H99)</f>
        <v>0</v>
      </c>
      <c r="I100" s="469"/>
      <c r="J100" s="469"/>
      <c r="K100" s="1925">
        <f>SUM(K93:K99)</f>
        <v>0</v>
      </c>
      <c r="L100" s="1925">
        <f>SUM(L93:L99)</f>
        <v>0</v>
      </c>
    </row>
    <row r="101" spans="1:14" ht="12.75" customHeight="1" thickTop="1" thickBot="1" x14ac:dyDescent="0.25">
      <c r="A101" s="1437" t="s">
        <v>1568</v>
      </c>
      <c r="B101" s="569" t="s">
        <v>987</v>
      </c>
      <c r="C101" s="1914"/>
      <c r="D101" s="1914"/>
      <c r="E101" s="1875">
        <v>0</v>
      </c>
      <c r="F101" s="1914"/>
      <c r="G101" s="1914"/>
      <c r="H101" s="1875">
        <v>0</v>
      </c>
      <c r="I101" s="469"/>
      <c r="J101" s="469"/>
      <c r="K101" s="1929">
        <f>SUM(C101:J101)</f>
        <v>0</v>
      </c>
      <c r="L101" s="1876">
        <v>0</v>
      </c>
    </row>
    <row r="102" spans="1:14" ht="12.75" customHeight="1" thickTop="1" thickBot="1" x14ac:dyDescent="0.25">
      <c r="A102" s="1583" t="s">
        <v>1566</v>
      </c>
      <c r="B102" s="1588">
        <v>4000</v>
      </c>
      <c r="C102" s="1914"/>
      <c r="D102" s="1914"/>
      <c r="E102" s="1922">
        <f>SUM(E84,E92,E100,E101)</f>
        <v>80</v>
      </c>
      <c r="F102" s="1914"/>
      <c r="G102" s="1914"/>
      <c r="H102" s="1922">
        <f>SUM(H84,H92,H100,H101)</f>
        <v>495070</v>
      </c>
      <c r="I102" s="469"/>
      <c r="J102" s="469"/>
      <c r="K102" s="1922">
        <f>SUM(K84,K92,K100,K101)</f>
        <v>495150</v>
      </c>
      <c r="L102" s="1922">
        <f>SUM(L84,L92,L100,L101)</f>
        <v>496529</v>
      </c>
    </row>
    <row r="103" spans="1:14" s="564" customFormat="1" ht="15.75" customHeight="1" thickTop="1" x14ac:dyDescent="0.2">
      <c r="A103" s="1530" t="s">
        <v>533</v>
      </c>
      <c r="B103" s="1527" t="s">
        <v>512</v>
      </c>
      <c r="C103" s="1914"/>
      <c r="D103" s="1914"/>
      <c r="E103" s="1914"/>
      <c r="F103" s="1914"/>
      <c r="G103" s="1914"/>
      <c r="H103" s="1916"/>
      <c r="I103" s="463"/>
      <c r="J103" s="463"/>
      <c r="K103" s="1916"/>
      <c r="L103" s="1916"/>
      <c r="M103" s="180"/>
      <c r="N103" s="180"/>
    </row>
    <row r="104" spans="1:14" s="572" customFormat="1" ht="15.75" customHeight="1" x14ac:dyDescent="0.2">
      <c r="A104" s="570" t="s">
        <v>635</v>
      </c>
      <c r="B104" s="571"/>
      <c r="C104" s="1914"/>
      <c r="D104" s="1914"/>
      <c r="E104" s="1914"/>
      <c r="F104" s="1914"/>
      <c r="G104" s="1914"/>
      <c r="H104" s="1917"/>
      <c r="I104" s="463"/>
      <c r="J104" s="463"/>
      <c r="K104" s="1917"/>
      <c r="L104" s="1917"/>
      <c r="M104" s="550"/>
      <c r="N104" s="550"/>
    </row>
    <row r="105" spans="1:14" s="538" customFormat="1" x14ac:dyDescent="0.2">
      <c r="A105" s="1431" t="s">
        <v>89</v>
      </c>
      <c r="B105" s="551">
        <v>5110</v>
      </c>
      <c r="C105" s="1914"/>
      <c r="D105" s="1914"/>
      <c r="E105" s="1914"/>
      <c r="F105" s="1914"/>
      <c r="G105" s="1914"/>
      <c r="H105" s="1833">
        <v>0</v>
      </c>
      <c r="I105" s="463"/>
      <c r="J105" s="463"/>
      <c r="K105" s="1913">
        <f>H105</f>
        <v>0</v>
      </c>
      <c r="L105" s="1833">
        <v>0</v>
      </c>
      <c r="M105" s="206"/>
      <c r="N105" s="206"/>
    </row>
    <row r="106" spans="1:14" s="538" customFormat="1" x14ac:dyDescent="0.2">
      <c r="A106" s="1431" t="s">
        <v>90</v>
      </c>
      <c r="B106" s="551">
        <v>5120</v>
      </c>
      <c r="C106" s="1914"/>
      <c r="D106" s="1914"/>
      <c r="E106" s="1914"/>
      <c r="F106" s="1914"/>
      <c r="G106" s="1914"/>
      <c r="H106" s="461">
        <v>0</v>
      </c>
      <c r="I106" s="463"/>
      <c r="J106" s="463"/>
      <c r="K106" s="1913">
        <f>H106</f>
        <v>0</v>
      </c>
      <c r="L106" s="461">
        <v>0</v>
      </c>
      <c r="M106" s="206"/>
      <c r="N106" s="206"/>
    </row>
    <row r="107" spans="1:14" s="538" customFormat="1" ht="12.75" customHeight="1" x14ac:dyDescent="0.2">
      <c r="A107" s="1431" t="s">
        <v>1231</v>
      </c>
      <c r="B107" s="551">
        <v>5130</v>
      </c>
      <c r="C107" s="1914"/>
      <c r="D107" s="1914"/>
      <c r="E107" s="1914"/>
      <c r="F107" s="1914"/>
      <c r="G107" s="1914"/>
      <c r="H107" s="461">
        <v>0</v>
      </c>
      <c r="I107" s="463"/>
      <c r="J107" s="463"/>
      <c r="K107" s="1913">
        <f>H107</f>
        <v>0</v>
      </c>
      <c r="L107" s="461">
        <v>0</v>
      </c>
      <c r="M107" s="206"/>
      <c r="N107" s="206"/>
    </row>
    <row r="108" spans="1:14" s="538" customFormat="1" x14ac:dyDescent="0.2">
      <c r="A108" s="1431" t="s">
        <v>91</v>
      </c>
      <c r="B108" s="551" t="s">
        <v>609</v>
      </c>
      <c r="C108" s="1914"/>
      <c r="D108" s="1914"/>
      <c r="E108" s="1914"/>
      <c r="F108" s="1914"/>
      <c r="G108" s="1914"/>
      <c r="H108" s="461">
        <v>0</v>
      </c>
      <c r="I108" s="463"/>
      <c r="J108" s="463"/>
      <c r="K108" s="1913">
        <f>H108</f>
        <v>0</v>
      </c>
      <c r="L108" s="461">
        <v>0</v>
      </c>
      <c r="M108" s="206"/>
      <c r="N108" s="206"/>
    </row>
    <row r="109" spans="1:14" s="538" customFormat="1" x14ac:dyDescent="0.2">
      <c r="A109" s="1431" t="s">
        <v>272</v>
      </c>
      <c r="B109" s="560">
        <v>5150</v>
      </c>
      <c r="C109" s="1914"/>
      <c r="D109" s="1914"/>
      <c r="E109" s="1914"/>
      <c r="F109" s="1914"/>
      <c r="G109" s="1914"/>
      <c r="H109" s="461">
        <v>0</v>
      </c>
      <c r="I109" s="463"/>
      <c r="J109" s="463"/>
      <c r="K109" s="1913">
        <f>H109</f>
        <v>0</v>
      </c>
      <c r="L109" s="461">
        <v>0</v>
      </c>
      <c r="M109" s="206"/>
      <c r="N109" s="206"/>
    </row>
    <row r="110" spans="1:14" s="538" customFormat="1" ht="12.75" customHeight="1" thickBot="1" x14ac:dyDescent="0.25">
      <c r="A110" s="1583" t="s">
        <v>1163</v>
      </c>
      <c r="B110" s="1586" t="s">
        <v>741</v>
      </c>
      <c r="C110" s="1914"/>
      <c r="D110" s="1914"/>
      <c r="E110" s="1914"/>
      <c r="F110" s="1914"/>
      <c r="G110" s="1914"/>
      <c r="H110" s="1915">
        <f>SUM(H105:H109)</f>
        <v>0</v>
      </c>
      <c r="I110" s="463"/>
      <c r="J110" s="463"/>
      <c r="K110" s="1915">
        <f>SUM(K105:K109)</f>
        <v>0</v>
      </c>
      <c r="L110" s="1915">
        <f>SUM(L105:L109)</f>
        <v>0</v>
      </c>
      <c r="M110" s="206"/>
      <c r="N110" s="206"/>
    </row>
    <row r="111" spans="1:14" s="538" customFormat="1" ht="12.75" customHeight="1" thickTop="1" thickBot="1" x14ac:dyDescent="0.25">
      <c r="A111" s="1441" t="s">
        <v>385</v>
      </c>
      <c r="B111" s="573" t="s">
        <v>38</v>
      </c>
      <c r="C111" s="1914"/>
      <c r="D111" s="1914"/>
      <c r="E111" s="1914"/>
      <c r="F111" s="1914"/>
      <c r="G111" s="1914"/>
      <c r="H111" s="1880">
        <v>0</v>
      </c>
      <c r="I111" s="463"/>
      <c r="J111" s="463"/>
      <c r="K111" s="1930">
        <f>H111</f>
        <v>0</v>
      </c>
      <c r="L111" s="1877">
        <v>0</v>
      </c>
      <c r="M111" s="206"/>
      <c r="N111" s="206"/>
    </row>
    <row r="112" spans="1:14" s="538" customFormat="1" ht="12.75" customHeight="1" thickTop="1" thickBot="1" x14ac:dyDescent="0.25">
      <c r="A112" s="1583" t="s">
        <v>658</v>
      </c>
      <c r="B112" s="1584" t="s">
        <v>512</v>
      </c>
      <c r="C112" s="1914"/>
      <c r="D112" s="1914"/>
      <c r="E112" s="1914"/>
      <c r="F112" s="1914"/>
      <c r="G112" s="1914"/>
      <c r="H112" s="1927">
        <f>SUM(H110:H111)</f>
        <v>0</v>
      </c>
      <c r="I112" s="463"/>
      <c r="J112" s="463"/>
      <c r="K112" s="1927">
        <f>SUM(K110:K111)</f>
        <v>0</v>
      </c>
      <c r="L112" s="1922">
        <f>SUM(L110,L111)</f>
        <v>0</v>
      </c>
      <c r="M112" s="206"/>
      <c r="N112" s="206"/>
    </row>
    <row r="113" spans="1:14" s="255" customFormat="1" ht="15.75" customHeight="1" thickTop="1" thickBot="1" x14ac:dyDescent="0.25">
      <c r="A113" s="1524" t="s">
        <v>534</v>
      </c>
      <c r="B113" s="1531" t="s">
        <v>915</v>
      </c>
      <c r="C113" s="1917"/>
      <c r="D113" s="1917"/>
      <c r="E113" s="1914"/>
      <c r="F113" s="1914"/>
      <c r="G113" s="1914"/>
      <c r="H113" s="1917"/>
      <c r="I113" s="463"/>
      <c r="J113" s="463"/>
      <c r="K113" s="1917"/>
      <c r="L113" s="1875">
        <v>0</v>
      </c>
      <c r="M113" s="550"/>
      <c r="N113" s="550"/>
    </row>
    <row r="114" spans="1:14" ht="12.75" customHeight="1" thickTop="1" thickBot="1" x14ac:dyDescent="0.25">
      <c r="A114" s="1583" t="s">
        <v>50</v>
      </c>
      <c r="B114" s="1591"/>
      <c r="C114" s="1915">
        <f>SUM(C33,C74,C75,C102,C112,C113)</f>
        <v>71798520</v>
      </c>
      <c r="D114" s="1915">
        <f t="shared" ref="D114:K114" si="13">SUM(D33,D74,D75,D102,D112,D113)</f>
        <v>16676139</v>
      </c>
      <c r="E114" s="1915">
        <f t="shared" si="13"/>
        <v>6521278</v>
      </c>
      <c r="F114" s="1915">
        <f t="shared" si="13"/>
        <v>5274759</v>
      </c>
      <c r="G114" s="1915">
        <f t="shared" si="13"/>
        <v>3516960</v>
      </c>
      <c r="H114" s="1915">
        <f>SUM(H33,H74,H75,H102,H112,H113)</f>
        <v>3842371</v>
      </c>
      <c r="I114" s="1915">
        <f t="shared" si="13"/>
        <v>742</v>
      </c>
      <c r="J114" s="1915">
        <f t="shared" si="13"/>
        <v>0</v>
      </c>
      <c r="K114" s="1915">
        <f t="shared" si="13"/>
        <v>107630769</v>
      </c>
      <c r="L114" s="1915">
        <f>SUM(L33,L74,L75,L102,L112,L113)</f>
        <v>106636531</v>
      </c>
    </row>
    <row r="115" spans="1:14" ht="13.5" thickTop="1" x14ac:dyDescent="0.2">
      <c r="A115" s="2251" t="s">
        <v>1052</v>
      </c>
      <c r="B115" s="2252"/>
      <c r="C115" s="1916"/>
      <c r="D115" s="1916"/>
      <c r="E115" s="1916"/>
      <c r="F115" s="1916"/>
      <c r="G115" s="1916"/>
      <c r="H115" s="1916"/>
      <c r="I115" s="1916"/>
      <c r="J115" s="1916"/>
      <c r="K115" s="1931">
        <f>'Revenues 9-14'!C275-'Expenditures 15-22'!K114</f>
        <v>1566367</v>
      </c>
      <c r="L115" s="1916"/>
    </row>
    <row r="116" spans="1:14" s="176" customFormat="1" ht="3.6" customHeight="1" x14ac:dyDescent="0.2">
      <c r="A116" s="574"/>
      <c r="B116" s="575"/>
      <c r="C116" s="1932"/>
      <c r="D116" s="1932"/>
      <c r="E116" s="1932"/>
      <c r="F116" s="1932"/>
      <c r="G116" s="1932"/>
      <c r="H116" s="1932"/>
      <c r="I116" s="1932"/>
      <c r="J116" s="1932"/>
      <c r="K116" s="1932"/>
      <c r="L116" s="1932"/>
      <c r="M116" s="206"/>
      <c r="N116" s="206"/>
    </row>
    <row r="117" spans="1:14" s="576" customFormat="1" ht="16.7" customHeight="1" x14ac:dyDescent="0.2">
      <c r="A117" s="2229" t="s">
        <v>313</v>
      </c>
      <c r="B117" s="2230"/>
      <c r="C117" s="1933"/>
      <c r="D117" s="1934"/>
      <c r="E117" s="1934"/>
      <c r="F117" s="1934"/>
      <c r="G117" s="1934"/>
      <c r="H117" s="1934"/>
      <c r="I117" s="1934"/>
      <c r="J117" s="1934"/>
      <c r="K117" s="1934"/>
      <c r="L117" s="1935"/>
      <c r="M117" s="171"/>
      <c r="N117" s="171"/>
    </row>
    <row r="118" spans="1:14" ht="15.75" customHeight="1" x14ac:dyDescent="0.2">
      <c r="A118" s="1532" t="s">
        <v>1094</v>
      </c>
      <c r="B118" s="1533" t="s">
        <v>589</v>
      </c>
      <c r="C118" s="1914"/>
      <c r="D118" s="1914"/>
      <c r="E118" s="1914"/>
      <c r="F118" s="1914"/>
      <c r="G118" s="1914"/>
      <c r="H118" s="1914"/>
      <c r="I118" s="1914"/>
      <c r="J118" s="1914"/>
      <c r="K118" s="1914"/>
      <c r="L118" s="1914"/>
    </row>
    <row r="119" spans="1:14" ht="15.75" customHeight="1" x14ac:dyDescent="0.2">
      <c r="A119" s="577" t="s">
        <v>611</v>
      </c>
      <c r="B119" s="556"/>
      <c r="C119" s="1917"/>
      <c r="D119" s="1917"/>
      <c r="E119" s="1917"/>
      <c r="F119" s="1914"/>
      <c r="G119" s="1914"/>
      <c r="H119" s="1917"/>
      <c r="I119" s="1914"/>
      <c r="J119" s="1914"/>
      <c r="K119" s="1917"/>
      <c r="L119" s="1917"/>
    </row>
    <row r="120" spans="1:14" ht="12.75" customHeight="1" x14ac:dyDescent="0.2">
      <c r="A120" s="1435" t="s">
        <v>167</v>
      </c>
      <c r="B120" s="560">
        <v>2190</v>
      </c>
      <c r="C120" s="461">
        <v>0</v>
      </c>
      <c r="D120" s="461">
        <v>0</v>
      </c>
      <c r="E120" s="461">
        <v>0</v>
      </c>
      <c r="F120" s="461">
        <v>0</v>
      </c>
      <c r="G120" s="461">
        <v>0</v>
      </c>
      <c r="H120" s="461">
        <v>0</v>
      </c>
      <c r="I120" s="461">
        <v>0</v>
      </c>
      <c r="J120" s="461">
        <v>0</v>
      </c>
      <c r="K120" s="1913">
        <f>SUM(C120:J120)</f>
        <v>0</v>
      </c>
      <c r="L120" s="461">
        <v>0</v>
      </c>
    </row>
    <row r="121" spans="1:14" ht="15.75" customHeight="1" x14ac:dyDescent="0.2">
      <c r="A121" s="578" t="s">
        <v>632</v>
      </c>
      <c r="B121" s="556"/>
      <c r="C121" s="1863"/>
      <c r="D121" s="1863"/>
      <c r="E121" s="1863"/>
      <c r="F121" s="1863"/>
      <c r="G121" s="1863"/>
      <c r="H121" s="1863"/>
      <c r="I121" s="1914"/>
      <c r="J121" s="1914"/>
      <c r="K121" s="1917"/>
      <c r="L121" s="1863"/>
    </row>
    <row r="122" spans="1:14" ht="13.5" thickBot="1" x14ac:dyDescent="0.25">
      <c r="A122" s="1431" t="s">
        <v>1127</v>
      </c>
      <c r="B122" s="551">
        <v>2510</v>
      </c>
      <c r="C122" s="461">
        <v>0</v>
      </c>
      <c r="D122" s="461">
        <v>0</v>
      </c>
      <c r="E122" s="461">
        <v>0</v>
      </c>
      <c r="F122" s="461">
        <v>0</v>
      </c>
      <c r="G122" s="461">
        <v>0</v>
      </c>
      <c r="H122" s="461">
        <v>0</v>
      </c>
      <c r="I122" s="461">
        <v>0</v>
      </c>
      <c r="J122" s="461">
        <v>0</v>
      </c>
      <c r="K122" s="1915">
        <f>SUM(C122:J122)</f>
        <v>0</v>
      </c>
      <c r="L122" s="461">
        <v>0</v>
      </c>
    </row>
    <row r="123" spans="1:14" ht="14.25" thickTop="1" thickBot="1" x14ac:dyDescent="0.25">
      <c r="A123" s="1431" t="s">
        <v>4</v>
      </c>
      <c r="B123" s="551">
        <v>2530</v>
      </c>
      <c r="C123" s="461">
        <v>194415</v>
      </c>
      <c r="D123" s="461">
        <v>17324</v>
      </c>
      <c r="E123" s="461">
        <v>43</v>
      </c>
      <c r="F123" s="461">
        <v>2223</v>
      </c>
      <c r="G123" s="461">
        <v>1642</v>
      </c>
      <c r="H123" s="461">
        <v>0</v>
      </c>
      <c r="I123" s="461">
        <v>0</v>
      </c>
      <c r="J123" s="461">
        <v>0</v>
      </c>
      <c r="K123" s="1915">
        <f>SUM(C123:J123)</f>
        <v>215647</v>
      </c>
      <c r="L123" s="461">
        <v>215646</v>
      </c>
    </row>
    <row r="124" spans="1:14" ht="14.25" thickTop="1" thickBot="1" x14ac:dyDescent="0.25">
      <c r="A124" s="1431" t="s">
        <v>206</v>
      </c>
      <c r="B124" s="551">
        <v>2540</v>
      </c>
      <c r="C124" s="461">
        <v>4071005</v>
      </c>
      <c r="D124" s="461">
        <v>749232</v>
      </c>
      <c r="E124" s="461">
        <v>2097525</v>
      </c>
      <c r="F124" s="461">
        <v>2760581</v>
      </c>
      <c r="G124" s="461">
        <v>3653101</v>
      </c>
      <c r="H124" s="461">
        <v>75291</v>
      </c>
      <c r="I124" s="461">
        <v>0</v>
      </c>
      <c r="J124" s="461">
        <v>0</v>
      </c>
      <c r="K124" s="1915">
        <f>SUM(C124:J124)</f>
        <v>13406735</v>
      </c>
      <c r="L124" s="461">
        <v>10157062</v>
      </c>
    </row>
    <row r="125" spans="1:14" ht="14.25" thickTop="1" thickBot="1" x14ac:dyDescent="0.25">
      <c r="A125" s="1431" t="s">
        <v>1009</v>
      </c>
      <c r="B125" s="551">
        <v>2550</v>
      </c>
      <c r="C125" s="461">
        <v>0</v>
      </c>
      <c r="D125" s="461">
        <v>0</v>
      </c>
      <c r="E125" s="461">
        <v>0</v>
      </c>
      <c r="F125" s="461">
        <v>0</v>
      </c>
      <c r="G125" s="461">
        <v>0</v>
      </c>
      <c r="H125" s="461">
        <v>0</v>
      </c>
      <c r="I125" s="461">
        <v>0</v>
      </c>
      <c r="J125" s="461">
        <v>0</v>
      </c>
      <c r="K125" s="1915">
        <f>SUM(C125:J125)</f>
        <v>0</v>
      </c>
      <c r="L125" s="461">
        <v>0</v>
      </c>
    </row>
    <row r="126" spans="1:14" ht="14.25" thickTop="1" thickBot="1" x14ac:dyDescent="0.25">
      <c r="A126" s="1431" t="s">
        <v>102</v>
      </c>
      <c r="B126" s="551">
        <v>2560</v>
      </c>
      <c r="C126" s="1936"/>
      <c r="D126" s="1936"/>
      <c r="E126" s="1936"/>
      <c r="F126" s="1936"/>
      <c r="G126" s="461">
        <v>0</v>
      </c>
      <c r="H126" s="1936"/>
      <c r="I126" s="1828">
        <v>0</v>
      </c>
      <c r="J126" s="1914"/>
      <c r="K126" s="1915">
        <f>SUM(C126:J126)</f>
        <v>0</v>
      </c>
      <c r="L126" s="461">
        <v>0</v>
      </c>
    </row>
    <row r="127" spans="1:14" ht="12.75" customHeight="1" thickTop="1" thickBot="1" x14ac:dyDescent="0.25">
      <c r="A127" s="1583" t="s">
        <v>742</v>
      </c>
      <c r="B127" s="1584" t="s">
        <v>35</v>
      </c>
      <c r="C127" s="1915">
        <f>SUM(C122:C126)</f>
        <v>4265420</v>
      </c>
      <c r="D127" s="1915">
        <f t="shared" ref="D127:L127" si="14">SUM(D122:D126)</f>
        <v>766556</v>
      </c>
      <c r="E127" s="1915">
        <f t="shared" si="14"/>
        <v>2097568</v>
      </c>
      <c r="F127" s="1915">
        <f t="shared" si="14"/>
        <v>2762804</v>
      </c>
      <c r="G127" s="1915">
        <f t="shared" si="14"/>
        <v>3654743</v>
      </c>
      <c r="H127" s="1915">
        <f t="shared" si="14"/>
        <v>75291</v>
      </c>
      <c r="I127" s="1915">
        <f t="shared" si="14"/>
        <v>0</v>
      </c>
      <c r="J127" s="1915">
        <f t="shared" si="14"/>
        <v>0</v>
      </c>
      <c r="K127" s="1915">
        <f t="shared" si="14"/>
        <v>13622382</v>
      </c>
      <c r="L127" s="1915">
        <f t="shared" si="14"/>
        <v>10372708</v>
      </c>
    </row>
    <row r="128" spans="1:14" ht="12.75" customHeight="1" thickTop="1" x14ac:dyDescent="0.2">
      <c r="A128" s="1438" t="s">
        <v>1036</v>
      </c>
      <c r="B128" s="579" t="s">
        <v>594</v>
      </c>
      <c r="C128" s="1880">
        <v>0</v>
      </c>
      <c r="D128" s="1880">
        <v>0</v>
      </c>
      <c r="E128" s="1880">
        <v>0</v>
      </c>
      <c r="F128" s="1880">
        <v>0</v>
      </c>
      <c r="G128" s="1880">
        <v>0</v>
      </c>
      <c r="H128" s="1880">
        <v>0</v>
      </c>
      <c r="I128" s="1880">
        <v>0</v>
      </c>
      <c r="J128" s="1880">
        <v>0</v>
      </c>
      <c r="K128" s="1937">
        <f>SUM(C128:J128)</f>
        <v>0</v>
      </c>
      <c r="L128" s="1880">
        <v>0</v>
      </c>
    </row>
    <row r="129" spans="1:14" ht="12.75" customHeight="1" thickBot="1" x14ac:dyDescent="0.25">
      <c r="A129" s="1592" t="s">
        <v>864</v>
      </c>
      <c r="B129" s="1593" t="s">
        <v>589</v>
      </c>
      <c r="C129" s="1922">
        <f>SUM(C120,C127,C128)</f>
        <v>4265420</v>
      </c>
      <c r="D129" s="1922">
        <f t="shared" ref="D129:L129" si="15">SUM(D120,D127,D128)</f>
        <v>766556</v>
      </c>
      <c r="E129" s="1922">
        <f t="shared" si="15"/>
        <v>2097568</v>
      </c>
      <c r="F129" s="1922">
        <f t="shared" si="15"/>
        <v>2762804</v>
      </c>
      <c r="G129" s="1922">
        <f t="shared" si="15"/>
        <v>3654743</v>
      </c>
      <c r="H129" s="1922">
        <f t="shared" si="15"/>
        <v>75291</v>
      </c>
      <c r="I129" s="1922">
        <f t="shared" si="15"/>
        <v>0</v>
      </c>
      <c r="J129" s="1922">
        <f t="shared" si="15"/>
        <v>0</v>
      </c>
      <c r="K129" s="1922">
        <f t="shared" si="15"/>
        <v>13622382</v>
      </c>
      <c r="L129" s="1922">
        <f t="shared" si="15"/>
        <v>10372708</v>
      </c>
    </row>
    <row r="130" spans="1:14" ht="15.75" customHeight="1" thickTop="1" thickBot="1" x14ac:dyDescent="0.25">
      <c r="A130" s="1528" t="s">
        <v>1095</v>
      </c>
      <c r="B130" s="1529" t="s">
        <v>595</v>
      </c>
      <c r="C130" s="1875">
        <v>0</v>
      </c>
      <c r="D130" s="1875">
        <v>0</v>
      </c>
      <c r="E130" s="1875">
        <v>0</v>
      </c>
      <c r="F130" s="1875">
        <v>0</v>
      </c>
      <c r="G130" s="1875">
        <v>0</v>
      </c>
      <c r="H130" s="1875">
        <v>0</v>
      </c>
      <c r="I130" s="1875">
        <v>0</v>
      </c>
      <c r="J130" s="1875">
        <v>0</v>
      </c>
      <c r="K130" s="1915">
        <f>SUM(C130:J130)</f>
        <v>0</v>
      </c>
      <c r="L130" s="1875">
        <v>0</v>
      </c>
    </row>
    <row r="131" spans="1:14" ht="15.75" customHeight="1" thickTop="1" x14ac:dyDescent="0.2">
      <c r="A131" s="1534" t="s">
        <v>636</v>
      </c>
      <c r="B131" s="1527" t="s">
        <v>914</v>
      </c>
      <c r="C131" s="463"/>
      <c r="D131" s="463"/>
      <c r="E131" s="1894"/>
      <c r="F131" s="463"/>
      <c r="G131" s="463"/>
      <c r="H131" s="1894"/>
      <c r="I131" s="463"/>
      <c r="J131" s="463"/>
      <c r="K131" s="1894"/>
      <c r="L131" s="1894"/>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17" t="s">
        <v>516</v>
      </c>
      <c r="B133" s="1727" t="s">
        <v>1953</v>
      </c>
      <c r="C133" s="463"/>
      <c r="D133" s="463"/>
      <c r="E133" s="1833">
        <v>0</v>
      </c>
      <c r="F133" s="1914"/>
      <c r="G133" s="1914"/>
      <c r="H133" s="1938">
        <v>0</v>
      </c>
      <c r="I133" s="469"/>
      <c r="J133" s="1914"/>
      <c r="K133" s="1919">
        <f>SUM(E133,H133)</f>
        <v>0</v>
      </c>
      <c r="L133" s="1833">
        <v>0</v>
      </c>
      <c r="M133" s="202"/>
      <c r="N133" s="202"/>
    </row>
    <row r="134" spans="1:14" x14ac:dyDescent="0.2">
      <c r="A134" s="1431" t="s">
        <v>321</v>
      </c>
      <c r="B134" s="551">
        <v>4120</v>
      </c>
      <c r="C134" s="1914"/>
      <c r="D134" s="1914"/>
      <c r="E134" s="1833">
        <v>0</v>
      </c>
      <c r="F134" s="1914"/>
      <c r="G134" s="1914"/>
      <c r="H134" s="1833">
        <v>0</v>
      </c>
      <c r="I134" s="469"/>
      <c r="J134" s="1914"/>
      <c r="K134" s="1919">
        <f>SUM(E134,H134)</f>
        <v>0</v>
      </c>
      <c r="L134" s="1833">
        <v>0</v>
      </c>
    </row>
    <row r="135" spans="1:14" x14ac:dyDescent="0.2">
      <c r="A135" s="1431" t="s">
        <v>720</v>
      </c>
      <c r="B135" s="551">
        <v>4140</v>
      </c>
      <c r="C135" s="1914"/>
      <c r="D135" s="1914"/>
      <c r="E135" s="461">
        <v>0</v>
      </c>
      <c r="F135" s="1914"/>
      <c r="G135" s="1914"/>
      <c r="H135" s="461">
        <v>0</v>
      </c>
      <c r="I135" s="469"/>
      <c r="J135" s="1914"/>
      <c r="K135" s="1919">
        <f>SUM(E135,H135)</f>
        <v>0</v>
      </c>
      <c r="L135" s="461">
        <v>0</v>
      </c>
    </row>
    <row r="136" spans="1:14" x14ac:dyDescent="0.2">
      <c r="A136" s="1435" t="s">
        <v>721</v>
      </c>
      <c r="B136" s="560">
        <v>4190</v>
      </c>
      <c r="C136" s="1914"/>
      <c r="D136" s="1914"/>
      <c r="E136" s="461">
        <v>0</v>
      </c>
      <c r="F136" s="1914"/>
      <c r="G136" s="1914"/>
      <c r="H136" s="461">
        <v>0</v>
      </c>
      <c r="I136" s="469"/>
      <c r="J136" s="1914"/>
      <c r="K136" s="1919">
        <f>SUM(E136,H136)</f>
        <v>0</v>
      </c>
      <c r="L136" s="461">
        <v>0</v>
      </c>
    </row>
    <row r="137" spans="1:14" ht="12.75" customHeight="1" thickBot="1" x14ac:dyDescent="0.25">
      <c r="A137" s="1583" t="s">
        <v>500</v>
      </c>
      <c r="B137" s="1588">
        <v>4100</v>
      </c>
      <c r="C137" s="1914"/>
      <c r="D137" s="1914"/>
      <c r="E137" s="1915">
        <f>SUM(E134:E136)</f>
        <v>0</v>
      </c>
      <c r="F137" s="1914"/>
      <c r="G137" s="1914"/>
      <c r="H137" s="1915">
        <f>SUM(H134:H136)</f>
        <v>0</v>
      </c>
      <c r="I137" s="469"/>
      <c r="J137" s="1914"/>
      <c r="K137" s="1915">
        <f>SUM(K134:K136)</f>
        <v>0</v>
      </c>
      <c r="L137" s="1915">
        <f>SUM(L134:L136)</f>
        <v>0</v>
      </c>
    </row>
    <row r="138" spans="1:14" ht="12.75" customHeight="1" thickTop="1" thickBot="1" x14ac:dyDescent="0.25">
      <c r="A138" s="1437" t="s">
        <v>98</v>
      </c>
      <c r="B138" s="569" t="s">
        <v>987</v>
      </c>
      <c r="C138" s="1914"/>
      <c r="D138" s="1914"/>
      <c r="E138" s="1914"/>
      <c r="F138" s="1914"/>
      <c r="G138" s="1914"/>
      <c r="H138" s="1875">
        <v>0</v>
      </c>
      <c r="I138" s="469"/>
      <c r="J138" s="1914"/>
      <c r="K138" s="1919">
        <f>SUM(E138,H138)</f>
        <v>0</v>
      </c>
      <c r="L138" s="1875">
        <v>0</v>
      </c>
    </row>
    <row r="139" spans="1:14" ht="12.75" customHeight="1" thickTop="1" thickBot="1" x14ac:dyDescent="0.25">
      <c r="A139" s="1583" t="s">
        <v>1566</v>
      </c>
      <c r="B139" s="1588">
        <v>4000</v>
      </c>
      <c r="C139" s="1914"/>
      <c r="D139" s="1914"/>
      <c r="E139" s="1915">
        <f>SUM(E137)</f>
        <v>0</v>
      </c>
      <c r="F139" s="1914"/>
      <c r="G139" s="1914"/>
      <c r="H139" s="1939">
        <f>SUM(H137:H138)</f>
        <v>0</v>
      </c>
      <c r="I139" s="469"/>
      <c r="J139" s="1914"/>
      <c r="K139" s="1919">
        <f>SUM(K137,K138)</f>
        <v>0</v>
      </c>
      <c r="L139" s="1939">
        <f>SUM(L137,L138)</f>
        <v>0</v>
      </c>
    </row>
    <row r="140" spans="1:14" ht="15.75" customHeight="1" thickTop="1" x14ac:dyDescent="0.2">
      <c r="A140" s="1530" t="s">
        <v>1096</v>
      </c>
      <c r="B140" s="1531" t="s">
        <v>512</v>
      </c>
      <c r="C140" s="1914"/>
      <c r="D140" s="1914"/>
      <c r="E140" s="1926"/>
      <c r="F140" s="1926"/>
      <c r="G140" s="1926"/>
      <c r="H140" s="1924"/>
      <c r="I140" s="469"/>
      <c r="J140" s="1926"/>
      <c r="K140" s="1924"/>
      <c r="L140" s="1924"/>
    </row>
    <row r="141" spans="1:14" ht="15.75" customHeight="1" x14ac:dyDescent="0.2">
      <c r="A141" s="578" t="s">
        <v>635</v>
      </c>
      <c r="B141" s="556"/>
      <c r="C141" s="1914"/>
      <c r="D141" s="1914"/>
      <c r="E141" s="1914"/>
      <c r="F141" s="1914"/>
      <c r="G141" s="1914"/>
      <c r="H141" s="1917"/>
      <c r="I141" s="463"/>
      <c r="J141" s="1914"/>
      <c r="K141" s="1917"/>
      <c r="L141" s="1917"/>
    </row>
    <row r="142" spans="1:14" x14ac:dyDescent="0.2">
      <c r="A142" s="1431" t="s">
        <v>89</v>
      </c>
      <c r="B142" s="551">
        <v>5110</v>
      </c>
      <c r="C142" s="1914"/>
      <c r="D142" s="1914"/>
      <c r="E142" s="1914"/>
      <c r="F142" s="1914"/>
      <c r="G142" s="1914"/>
      <c r="H142" s="1833">
        <v>0</v>
      </c>
      <c r="I142" s="463"/>
      <c r="J142" s="1914"/>
      <c r="K142" s="1919">
        <f>SUM(H142)</f>
        <v>0</v>
      </c>
      <c r="L142" s="1833">
        <v>0</v>
      </c>
    </row>
    <row r="143" spans="1:14" x14ac:dyDescent="0.2">
      <c r="A143" s="1431" t="s">
        <v>90</v>
      </c>
      <c r="B143" s="551">
        <v>5120</v>
      </c>
      <c r="C143" s="1914"/>
      <c r="D143" s="1914"/>
      <c r="E143" s="1914"/>
      <c r="F143" s="1914"/>
      <c r="G143" s="1914"/>
      <c r="H143" s="461">
        <v>0</v>
      </c>
      <c r="I143" s="463"/>
      <c r="J143" s="1914"/>
      <c r="K143" s="1919">
        <f>SUM(H143)</f>
        <v>0</v>
      </c>
      <c r="L143" s="461">
        <v>0</v>
      </c>
    </row>
    <row r="144" spans="1:14" ht="12.75" customHeight="1" x14ac:dyDescent="0.2">
      <c r="A144" s="1431" t="s">
        <v>1231</v>
      </c>
      <c r="B144" s="560" t="s">
        <v>637</v>
      </c>
      <c r="C144" s="1914"/>
      <c r="D144" s="1914"/>
      <c r="E144" s="1914"/>
      <c r="F144" s="1914"/>
      <c r="G144" s="1914"/>
      <c r="H144" s="461">
        <v>0</v>
      </c>
      <c r="I144" s="463"/>
      <c r="J144" s="1914"/>
      <c r="K144" s="1919">
        <f>SUM(H144)</f>
        <v>0</v>
      </c>
      <c r="L144" s="461">
        <v>0</v>
      </c>
    </row>
    <row r="145" spans="1:14" x14ac:dyDescent="0.2">
      <c r="A145" s="1431" t="s">
        <v>91</v>
      </c>
      <c r="B145" s="551" t="s">
        <v>609</v>
      </c>
      <c r="C145" s="1914"/>
      <c r="D145" s="1914"/>
      <c r="E145" s="1914"/>
      <c r="F145" s="1914"/>
      <c r="G145" s="1914"/>
      <c r="H145" s="461">
        <v>0</v>
      </c>
      <c r="I145" s="463"/>
      <c r="J145" s="1914"/>
      <c r="K145" s="1919">
        <f>SUM(H145)</f>
        <v>0</v>
      </c>
      <c r="L145" s="461">
        <v>0</v>
      </c>
    </row>
    <row r="146" spans="1:14" ht="12.75" customHeight="1" x14ac:dyDescent="0.2">
      <c r="A146" s="1431" t="s">
        <v>639</v>
      </c>
      <c r="B146" s="551" t="s">
        <v>638</v>
      </c>
      <c r="C146" s="1914"/>
      <c r="D146" s="1914"/>
      <c r="E146" s="1914"/>
      <c r="F146" s="1914"/>
      <c r="G146" s="1914"/>
      <c r="H146" s="461">
        <v>0</v>
      </c>
      <c r="I146" s="463"/>
      <c r="J146" s="1914"/>
      <c r="K146" s="1919">
        <f>SUM(H146)</f>
        <v>0</v>
      </c>
      <c r="L146" s="461">
        <v>0</v>
      </c>
    </row>
    <row r="147" spans="1:14" ht="12.75" customHeight="1" thickBot="1" x14ac:dyDescent="0.25">
      <c r="A147" s="1442" t="s">
        <v>646</v>
      </c>
      <c r="B147" s="582" t="s">
        <v>741</v>
      </c>
      <c r="C147" s="1914"/>
      <c r="D147" s="1914"/>
      <c r="E147" s="1914"/>
      <c r="F147" s="1914"/>
      <c r="G147" s="1914"/>
      <c r="H147" s="1848">
        <f>SUM(H142:H146)</f>
        <v>0</v>
      </c>
      <c r="I147" s="463"/>
      <c r="J147" s="1914"/>
      <c r="K147" s="1927">
        <f>SUM(K142:K146)</f>
        <v>0</v>
      </c>
      <c r="L147" s="1848">
        <f>SUM(L142:L146)</f>
        <v>0</v>
      </c>
    </row>
    <row r="148" spans="1:14" ht="15.75" customHeight="1" thickTop="1" x14ac:dyDescent="0.2">
      <c r="A148" s="583" t="s">
        <v>1164</v>
      </c>
      <c r="B148" s="584" t="s">
        <v>38</v>
      </c>
      <c r="C148" s="1914"/>
      <c r="D148" s="1914"/>
      <c r="E148" s="1914"/>
      <c r="F148" s="1914"/>
      <c r="G148" s="1914"/>
      <c r="H148" s="1839">
        <v>0</v>
      </c>
      <c r="I148" s="463"/>
      <c r="J148" s="1914"/>
      <c r="K148" s="1919">
        <f>SUM(H148)</f>
        <v>0</v>
      </c>
      <c r="L148" s="1839">
        <v>0</v>
      </c>
    </row>
    <row r="149" spans="1:14" ht="12.75" customHeight="1" thickBot="1" x14ac:dyDescent="0.25">
      <c r="A149" s="1434" t="s">
        <v>658</v>
      </c>
      <c r="B149" s="552" t="s">
        <v>512</v>
      </c>
      <c r="C149" s="1914"/>
      <c r="D149" s="1914"/>
      <c r="E149" s="1914"/>
      <c r="F149" s="1914"/>
      <c r="G149" s="1914"/>
      <c r="H149" s="1915">
        <f>SUM(H147,H148)</f>
        <v>0</v>
      </c>
      <c r="I149" s="463"/>
      <c r="J149" s="1914"/>
      <c r="K149" s="1915">
        <f>SUM(K147:K148)</f>
        <v>0</v>
      </c>
      <c r="L149" s="1915">
        <f>SUM(L142:L146,L148)</f>
        <v>0</v>
      </c>
    </row>
    <row r="150" spans="1:14" ht="15.75" customHeight="1" thickTop="1" thickBot="1" x14ac:dyDescent="0.25">
      <c r="A150" s="1524" t="s">
        <v>1097</v>
      </c>
      <c r="B150" s="1531" t="s">
        <v>915</v>
      </c>
      <c r="C150" s="1914"/>
      <c r="D150" s="1914"/>
      <c r="E150" s="1914"/>
      <c r="F150" s="1914"/>
      <c r="G150" s="1914"/>
      <c r="H150" s="1940"/>
      <c r="I150" s="1863"/>
      <c r="J150" s="1914"/>
      <c r="K150" s="1917"/>
      <c r="L150" s="1877">
        <v>0</v>
      </c>
    </row>
    <row r="151" spans="1:14" ht="12.75" customHeight="1" thickTop="1" thickBot="1" x14ac:dyDescent="0.25">
      <c r="A151" s="2241" t="s">
        <v>640</v>
      </c>
      <c r="B151" s="2223"/>
      <c r="C151" s="1915">
        <f t="shared" ref="C151:L151" si="16">SUM(C129,C130,C139,C149,C150)</f>
        <v>4265420</v>
      </c>
      <c r="D151" s="1915">
        <f t="shared" si="16"/>
        <v>766556</v>
      </c>
      <c r="E151" s="1915">
        <f t="shared" si="16"/>
        <v>2097568</v>
      </c>
      <c r="F151" s="1915">
        <f t="shared" si="16"/>
        <v>2762804</v>
      </c>
      <c r="G151" s="1915">
        <f t="shared" si="16"/>
        <v>3654743</v>
      </c>
      <c r="H151" s="1915">
        <f t="shared" si="16"/>
        <v>75291</v>
      </c>
      <c r="I151" s="1915">
        <f t="shared" si="16"/>
        <v>0</v>
      </c>
      <c r="J151" s="1915">
        <f t="shared" si="16"/>
        <v>0</v>
      </c>
      <c r="K151" s="1915">
        <f t="shared" si="16"/>
        <v>13622382</v>
      </c>
      <c r="L151" s="1915">
        <f t="shared" si="16"/>
        <v>10372708</v>
      </c>
    </row>
    <row r="152" spans="1:14" ht="12.75" customHeight="1" thickTop="1" x14ac:dyDescent="0.2">
      <c r="A152" s="2244" t="s">
        <v>1239</v>
      </c>
      <c r="B152" s="2245"/>
      <c r="C152" s="1916"/>
      <c r="D152" s="1916"/>
      <c r="E152" s="1916"/>
      <c r="F152" s="1916"/>
      <c r="G152" s="1916"/>
      <c r="H152" s="1916"/>
      <c r="I152" s="1916"/>
      <c r="J152" s="1914"/>
      <c r="K152" s="1931">
        <f>'Revenues 9-14'!D275-'Expenditures 15-22'!K151</f>
        <v>-3718235</v>
      </c>
      <c r="L152" s="1916"/>
    </row>
    <row r="153" spans="1:14" s="588" customFormat="1" ht="9" customHeight="1" x14ac:dyDescent="0.2">
      <c r="A153" s="585"/>
      <c r="B153" s="586"/>
      <c r="C153" s="1932"/>
      <c r="D153" s="1932"/>
      <c r="E153" s="1932"/>
      <c r="F153" s="1932"/>
      <c r="G153" s="1932"/>
      <c r="H153" s="1932"/>
      <c r="I153" s="1932"/>
      <c r="J153" s="1932"/>
      <c r="K153" s="1932"/>
      <c r="L153" s="1932"/>
      <c r="M153" s="587"/>
      <c r="N153" s="587"/>
    </row>
    <row r="154" spans="1:14" s="590" customFormat="1" ht="16.7" customHeight="1" x14ac:dyDescent="0.2">
      <c r="A154" s="2229" t="s">
        <v>641</v>
      </c>
      <c r="B154" s="2231"/>
      <c r="C154" s="1933"/>
      <c r="D154" s="1934"/>
      <c r="E154" s="1934"/>
      <c r="F154" s="1934"/>
      <c r="G154" s="1934"/>
      <c r="H154" s="1934"/>
      <c r="I154" s="1934"/>
      <c r="J154" s="1934"/>
      <c r="K154" s="1934"/>
      <c r="L154" s="1935"/>
      <c r="M154" s="589"/>
      <c r="N154" s="589"/>
    </row>
    <row r="155" spans="1:14" s="554" customFormat="1" ht="15.75" customHeight="1" thickBot="1" x14ac:dyDescent="0.25">
      <c r="A155" s="1535" t="s">
        <v>83</v>
      </c>
      <c r="B155" s="1536" t="s">
        <v>914</v>
      </c>
      <c r="C155" s="1914"/>
      <c r="D155" s="1914"/>
      <c r="E155" s="1914"/>
      <c r="F155" s="1914"/>
      <c r="G155" s="1914"/>
      <c r="H155" s="1877">
        <v>0</v>
      </c>
      <c r="I155" s="1914"/>
      <c r="J155" s="1914"/>
      <c r="K155" s="1925">
        <f>SUM(H155)</f>
        <v>0</v>
      </c>
      <c r="L155" s="1877">
        <v>0</v>
      </c>
      <c r="M155" s="553"/>
      <c r="N155" s="553"/>
    </row>
    <row r="156" spans="1:14" s="554" customFormat="1" ht="15.75" customHeight="1" thickTop="1" x14ac:dyDescent="0.2">
      <c r="A156" s="1712" t="s">
        <v>1954</v>
      </c>
      <c r="B156" s="1713"/>
      <c r="C156" s="1914"/>
      <c r="D156" s="1914"/>
      <c r="E156" s="1914"/>
      <c r="F156" s="1914"/>
      <c r="G156" s="1914"/>
      <c r="H156" s="1914"/>
      <c r="I156" s="1914"/>
      <c r="J156" s="1914"/>
      <c r="K156" s="1914"/>
      <c r="L156" s="1914"/>
      <c r="M156" s="553"/>
      <c r="N156" s="553"/>
    </row>
    <row r="157" spans="1:14" s="554" customFormat="1" ht="12" x14ac:dyDescent="0.2">
      <c r="A157" s="1714" t="s">
        <v>516</v>
      </c>
      <c r="B157" s="1715" t="s">
        <v>1953</v>
      </c>
      <c r="C157" s="1914"/>
      <c r="D157" s="1914"/>
      <c r="E157" s="1833">
        <v>0</v>
      </c>
      <c r="F157" s="1914"/>
      <c r="G157" s="1914"/>
      <c r="H157" s="1923">
        <v>0</v>
      </c>
      <c r="I157" s="469"/>
      <c r="J157" s="469"/>
      <c r="K157" s="1913">
        <f t="shared" ref="K157:K159" si="17">SUM(C157:J157)</f>
        <v>0</v>
      </c>
      <c r="L157" s="1833">
        <v>0</v>
      </c>
      <c r="M157" s="553"/>
      <c r="N157" s="553"/>
    </row>
    <row r="158" spans="1:14" s="554" customFormat="1" ht="12" x14ac:dyDescent="0.2">
      <c r="A158" s="1714" t="s">
        <v>321</v>
      </c>
      <c r="B158" s="1715" t="s">
        <v>1955</v>
      </c>
      <c r="C158" s="1914"/>
      <c r="D158" s="1914"/>
      <c r="E158" s="461">
        <v>0</v>
      </c>
      <c r="F158" s="1914"/>
      <c r="G158" s="1914"/>
      <c r="H158" s="461">
        <v>0</v>
      </c>
      <c r="I158" s="469"/>
      <c r="J158" s="469"/>
      <c r="K158" s="1913">
        <f t="shared" si="17"/>
        <v>0</v>
      </c>
      <c r="L158" s="461">
        <v>0</v>
      </c>
      <c r="M158" s="553"/>
      <c r="N158" s="553"/>
    </row>
    <row r="159" spans="1:14" s="554" customFormat="1" ht="12" x14ac:dyDescent="0.2">
      <c r="A159" s="1714" t="s">
        <v>1956</v>
      </c>
      <c r="B159" s="1715" t="s">
        <v>578</v>
      </c>
      <c r="C159" s="1914"/>
      <c r="D159" s="1914"/>
      <c r="E159" s="461">
        <v>0</v>
      </c>
      <c r="F159" s="1914"/>
      <c r="G159" s="1914"/>
      <c r="H159" s="461">
        <v>0</v>
      </c>
      <c r="I159" s="469"/>
      <c r="J159" s="469"/>
      <c r="K159" s="1913">
        <f t="shared" si="17"/>
        <v>0</v>
      </c>
      <c r="L159" s="461">
        <v>0</v>
      </c>
      <c r="M159" s="553"/>
      <c r="N159" s="553"/>
    </row>
    <row r="160" spans="1:14" s="554" customFormat="1" ht="15.75" customHeight="1" thickBot="1" x14ac:dyDescent="0.25">
      <c r="A160" s="1716" t="s">
        <v>1957</v>
      </c>
      <c r="B160" s="1717" t="s">
        <v>914</v>
      </c>
      <c r="C160" s="1914"/>
      <c r="D160" s="1914"/>
      <c r="E160" s="1915">
        <f>SUM(E157:E159)</f>
        <v>0</v>
      </c>
      <c r="F160" s="1914"/>
      <c r="G160" s="1914"/>
      <c r="H160" s="1915">
        <f>SUM(H157:H159)</f>
        <v>0</v>
      </c>
      <c r="I160" s="469"/>
      <c r="J160" s="469"/>
      <c r="K160" s="1915">
        <f>SUM(K157:K159)</f>
        <v>0</v>
      </c>
      <c r="L160" s="1915">
        <f>SUM(L157:L159)</f>
        <v>0</v>
      </c>
      <c r="M160" s="553"/>
      <c r="N160" s="553"/>
    </row>
    <row r="161" spans="1:14" s="255" customFormat="1" ht="15.75" customHeight="1" thickTop="1" x14ac:dyDescent="0.2">
      <c r="A161" s="1530" t="s">
        <v>84</v>
      </c>
      <c r="B161" s="1531" t="s">
        <v>512</v>
      </c>
      <c r="C161" s="1914"/>
      <c r="D161" s="1914"/>
      <c r="E161" s="1914"/>
      <c r="F161" s="1914"/>
      <c r="G161" s="1914"/>
      <c r="H161" s="1914"/>
      <c r="I161" s="1914"/>
      <c r="J161" s="1914"/>
      <c r="K161" s="1914"/>
      <c r="L161" s="1914"/>
      <c r="M161" s="550"/>
      <c r="N161" s="550"/>
    </row>
    <row r="162" spans="1:14" s="255" customFormat="1" ht="15.75" customHeight="1" x14ac:dyDescent="0.2">
      <c r="A162" s="578" t="s">
        <v>635</v>
      </c>
      <c r="B162" s="556"/>
      <c r="C162" s="1914"/>
      <c r="D162" s="1914"/>
      <c r="E162" s="1914"/>
      <c r="F162" s="1914"/>
      <c r="G162" s="1914"/>
      <c r="H162" s="1914"/>
      <c r="I162" s="1914"/>
      <c r="J162" s="1914"/>
      <c r="K162" s="1914"/>
      <c r="L162" s="1914"/>
      <c r="M162" s="550"/>
      <c r="N162" s="550"/>
    </row>
    <row r="163" spans="1:14" x14ac:dyDescent="0.2">
      <c r="A163" s="1431" t="s">
        <v>89</v>
      </c>
      <c r="B163" s="551">
        <v>5110</v>
      </c>
      <c r="C163" s="1914"/>
      <c r="D163" s="1914"/>
      <c r="E163" s="1914"/>
      <c r="F163" s="1914"/>
      <c r="G163" s="1914"/>
      <c r="H163" s="461">
        <v>0</v>
      </c>
      <c r="I163" s="1914"/>
      <c r="J163" s="1914"/>
      <c r="K163" s="1913">
        <f>SUM(C163:J163)</f>
        <v>0</v>
      </c>
      <c r="L163" s="461">
        <v>0</v>
      </c>
    </row>
    <row r="164" spans="1:14" x14ac:dyDescent="0.2">
      <c r="A164" s="1431" t="s">
        <v>90</v>
      </c>
      <c r="B164" s="551">
        <v>5120</v>
      </c>
      <c r="C164" s="1914"/>
      <c r="D164" s="1914"/>
      <c r="E164" s="1914"/>
      <c r="F164" s="1914"/>
      <c r="G164" s="1914"/>
      <c r="H164" s="461">
        <v>0</v>
      </c>
      <c r="I164" s="1914"/>
      <c r="J164" s="1914"/>
      <c r="K164" s="1913">
        <f>SUM(C164:J164)</f>
        <v>0</v>
      </c>
      <c r="L164" s="461">
        <v>0</v>
      </c>
    </row>
    <row r="165" spans="1:14" ht="12.75" customHeight="1" x14ac:dyDescent="0.2">
      <c r="A165" s="1431" t="s">
        <v>1231</v>
      </c>
      <c r="B165" s="551" t="s">
        <v>637</v>
      </c>
      <c r="C165" s="1914"/>
      <c r="D165" s="1914"/>
      <c r="E165" s="1914"/>
      <c r="F165" s="1914"/>
      <c r="G165" s="1914"/>
      <c r="H165" s="461">
        <v>0</v>
      </c>
      <c r="I165" s="1914"/>
      <c r="J165" s="1914"/>
      <c r="K165" s="1913">
        <f>SUM(C165:J165)</f>
        <v>0</v>
      </c>
      <c r="L165" s="461">
        <v>0</v>
      </c>
    </row>
    <row r="166" spans="1:14" x14ac:dyDescent="0.2">
      <c r="A166" s="1431" t="s">
        <v>91</v>
      </c>
      <c r="B166" s="560" t="s">
        <v>609</v>
      </c>
      <c r="C166" s="1914"/>
      <c r="D166" s="1914"/>
      <c r="E166" s="1914"/>
      <c r="F166" s="1914"/>
      <c r="G166" s="1914"/>
      <c r="H166" s="461">
        <v>0</v>
      </c>
      <c r="I166" s="1914"/>
      <c r="J166" s="1914"/>
      <c r="K166" s="1913">
        <f>SUM(C166:J166)</f>
        <v>0</v>
      </c>
      <c r="L166" s="461">
        <v>0</v>
      </c>
    </row>
    <row r="167" spans="1:14" ht="12.75" customHeight="1" x14ac:dyDescent="0.2">
      <c r="A167" s="1431" t="s">
        <v>639</v>
      </c>
      <c r="B167" s="551" t="s">
        <v>638</v>
      </c>
      <c r="C167" s="1914"/>
      <c r="D167" s="1914"/>
      <c r="E167" s="1914"/>
      <c r="F167" s="1914"/>
      <c r="G167" s="1914"/>
      <c r="H167" s="461">
        <v>0</v>
      </c>
      <c r="I167" s="1914"/>
      <c r="J167" s="1914"/>
      <c r="K167" s="1913">
        <f>SUM(C167:J167)</f>
        <v>0</v>
      </c>
      <c r="L167" s="461">
        <v>0</v>
      </c>
    </row>
    <row r="168" spans="1:14" ht="13.5" thickBot="1" x14ac:dyDescent="0.25">
      <c r="A168" s="1583" t="s">
        <v>293</v>
      </c>
      <c r="B168" s="1586" t="s">
        <v>741</v>
      </c>
      <c r="C168" s="1914"/>
      <c r="D168" s="1914"/>
      <c r="E168" s="1914"/>
      <c r="F168" s="1914"/>
      <c r="G168" s="1914"/>
      <c r="H168" s="1915">
        <f>SUM(H163:H167)</f>
        <v>0</v>
      </c>
      <c r="I168" s="1914"/>
      <c r="J168" s="1914"/>
      <c r="K168" s="1915">
        <f>SUM(K163:K167)</f>
        <v>0</v>
      </c>
      <c r="L168" s="1915">
        <f>SUM(L163:L167)</f>
        <v>0</v>
      </c>
    </row>
    <row r="169" spans="1:14" ht="15.75" customHeight="1" thickTop="1" x14ac:dyDescent="0.2">
      <c r="A169" s="591" t="s">
        <v>85</v>
      </c>
      <c r="B169" s="592" t="s">
        <v>38</v>
      </c>
      <c r="C169" s="1914"/>
      <c r="D169" s="1914"/>
      <c r="E169" s="1914"/>
      <c r="F169" s="1914"/>
      <c r="G169" s="1914"/>
      <c r="H169" s="1880">
        <v>4619326</v>
      </c>
      <c r="I169" s="1914"/>
      <c r="J169" s="1914"/>
      <c r="K169" s="1913">
        <f>SUM(C169:H169)</f>
        <v>4619326</v>
      </c>
      <c r="L169" s="1880">
        <v>5656494</v>
      </c>
    </row>
    <row r="170" spans="1:14" ht="33.75" customHeight="1" x14ac:dyDescent="0.2">
      <c r="A170" s="591" t="s">
        <v>1768</v>
      </c>
      <c r="B170" s="593" t="s">
        <v>31</v>
      </c>
      <c r="C170" s="1914"/>
      <c r="D170" s="1914"/>
      <c r="E170" s="1914"/>
      <c r="F170" s="1914"/>
      <c r="G170" s="1914"/>
      <c r="H170" s="1833">
        <v>4812433</v>
      </c>
      <c r="I170" s="1914"/>
      <c r="J170" s="1914"/>
      <c r="K170" s="1913">
        <f>SUM(C170:J170)</f>
        <v>4812433</v>
      </c>
      <c r="L170" s="1833">
        <v>3638976</v>
      </c>
    </row>
    <row r="171" spans="1:14" ht="15.75" customHeight="1" thickBot="1" x14ac:dyDescent="0.25">
      <c r="A171" s="555" t="s">
        <v>789</v>
      </c>
      <c r="B171" s="594" t="s">
        <v>86</v>
      </c>
      <c r="C171" s="1914"/>
      <c r="D171" s="1914"/>
      <c r="E171" s="1876">
        <v>2384</v>
      </c>
      <c r="F171" s="1914"/>
      <c r="G171" s="1914"/>
      <c r="H171" s="1833">
        <v>0</v>
      </c>
      <c r="I171" s="469"/>
      <c r="J171" s="1914"/>
      <c r="K171" s="1913">
        <f>SUM(C171:J171)</f>
        <v>2384</v>
      </c>
      <c r="L171" s="1833">
        <v>2385</v>
      </c>
    </row>
    <row r="172" spans="1:14" ht="12.75" customHeight="1" thickTop="1" thickBot="1" x14ac:dyDescent="0.25">
      <c r="A172" s="1583" t="s">
        <v>658</v>
      </c>
      <c r="B172" s="1584" t="s">
        <v>512</v>
      </c>
      <c r="C172" s="1914"/>
      <c r="D172" s="1914"/>
      <c r="E172" s="1939">
        <f>SUM(E168,E169,E170,E171)</f>
        <v>2384</v>
      </c>
      <c r="F172" s="1914"/>
      <c r="G172" s="1914"/>
      <c r="H172" s="1922">
        <f>SUM(H168,H169,H170,H171)</f>
        <v>9431759</v>
      </c>
      <c r="I172" s="1926"/>
      <c r="J172" s="1914"/>
      <c r="K172" s="1922">
        <f>SUM(K168,K169,K170,K171)</f>
        <v>9434143</v>
      </c>
      <c r="L172" s="1922">
        <f>SUM(L168,L169,L170,L171)</f>
        <v>9297855</v>
      </c>
    </row>
    <row r="173" spans="1:14" ht="15.75" customHeight="1" thickTop="1" thickBot="1" x14ac:dyDescent="0.25">
      <c r="A173" s="1537" t="s">
        <v>87</v>
      </c>
      <c r="B173" s="1529" t="s">
        <v>915</v>
      </c>
      <c r="C173" s="1914"/>
      <c r="D173" s="1914"/>
      <c r="E173" s="1917"/>
      <c r="F173" s="1914"/>
      <c r="G173" s="1914"/>
      <c r="H173" s="1918"/>
      <c r="I173" s="1926"/>
      <c r="J173" s="1914"/>
      <c r="K173" s="1917"/>
      <c r="L173" s="1875"/>
    </row>
    <row r="174" spans="1:14" ht="12.75" customHeight="1" thickTop="1" thickBot="1" x14ac:dyDescent="0.25">
      <c r="A174" s="1595" t="s">
        <v>92</v>
      </c>
      <c r="B174" s="1596"/>
      <c r="C174" s="1914"/>
      <c r="D174" s="1914"/>
      <c r="E174" s="1922">
        <f>SUM(E160,E172,E173)</f>
        <v>2384</v>
      </c>
      <c r="F174" s="1914"/>
      <c r="G174" s="1914"/>
      <c r="H174" s="1922">
        <f>SUM(H160,H172,H173)</f>
        <v>9431759</v>
      </c>
      <c r="I174" s="1926"/>
      <c r="J174" s="1914"/>
      <c r="K174" s="1922">
        <f>SUM(K160,K172,K173)</f>
        <v>9434143</v>
      </c>
      <c r="L174" s="1922">
        <f>SUM(L160,L172,L173)</f>
        <v>9297855</v>
      </c>
    </row>
    <row r="175" spans="1:14" ht="13.5" thickTop="1" x14ac:dyDescent="0.2">
      <c r="A175" s="2251" t="s">
        <v>1052</v>
      </c>
      <c r="B175" s="2252"/>
      <c r="C175" s="1914"/>
      <c r="D175" s="1914"/>
      <c r="E175" s="1914"/>
      <c r="F175" s="1914"/>
      <c r="G175" s="1914"/>
      <c r="H175" s="1916"/>
      <c r="I175" s="1914"/>
      <c r="J175" s="1914"/>
      <c r="K175" s="1931">
        <f>'Revenues 9-14'!E275-K174</f>
        <v>7938333</v>
      </c>
      <c r="L175" s="1916"/>
    </row>
    <row r="176" spans="1:14" s="588" customFormat="1" ht="9" customHeight="1" x14ac:dyDescent="0.2">
      <c r="A176" s="585"/>
      <c r="B176" s="595"/>
      <c r="C176" s="1914"/>
      <c r="D176" s="1914"/>
      <c r="E176" s="1914"/>
      <c r="F176" s="1914"/>
      <c r="G176" s="1914"/>
      <c r="H176" s="1914"/>
      <c r="I176" s="1914"/>
      <c r="J176" s="1914"/>
      <c r="K176" s="1941"/>
      <c r="L176" s="1914"/>
      <c r="M176" s="587"/>
      <c r="N176" s="587"/>
    </row>
    <row r="177" spans="1:14" s="339" customFormat="1" ht="16.7" customHeight="1" x14ac:dyDescent="0.2">
      <c r="A177" s="1478" t="s">
        <v>993</v>
      </c>
      <c r="B177" s="1479"/>
      <c r="C177" s="1479"/>
      <c r="D177" s="1479"/>
      <c r="E177" s="1479"/>
      <c r="F177" s="1479"/>
      <c r="G177" s="1479"/>
      <c r="H177" s="1479"/>
      <c r="I177" s="1479"/>
      <c r="J177" s="1479"/>
      <c r="K177" s="1479"/>
      <c r="L177" s="1479"/>
      <c r="M177" s="546"/>
      <c r="N177" s="546"/>
    </row>
    <row r="178" spans="1:14" s="596" customFormat="1" ht="15.75" customHeight="1" x14ac:dyDescent="0.2">
      <c r="A178" s="1538" t="s">
        <v>994</v>
      </c>
      <c r="B178" s="1539"/>
      <c r="C178" s="1863"/>
      <c r="D178" s="1863"/>
      <c r="E178" s="1863"/>
      <c r="F178" s="1942"/>
      <c r="G178" s="1863"/>
      <c r="H178" s="1863"/>
      <c r="I178" s="463"/>
      <c r="J178" s="463"/>
      <c r="K178" s="1863"/>
      <c r="L178" s="1863"/>
      <c r="M178" s="587"/>
      <c r="N178" s="587"/>
    </row>
    <row r="179" spans="1:14" s="596" customFormat="1" ht="15.75" customHeight="1" x14ac:dyDescent="0.2">
      <c r="A179" s="597" t="s">
        <v>611</v>
      </c>
      <c r="B179" s="556"/>
      <c r="C179" s="1863"/>
      <c r="D179" s="1863"/>
      <c r="E179" s="1863"/>
      <c r="F179" s="1942"/>
      <c r="G179" s="1863"/>
      <c r="H179" s="1863"/>
      <c r="I179" s="463"/>
      <c r="J179" s="463"/>
      <c r="K179" s="1863"/>
      <c r="L179" s="1863"/>
      <c r="M179" s="587"/>
      <c r="N179" s="587"/>
    </row>
    <row r="180" spans="1:14" ht="12.75" customHeight="1" x14ac:dyDescent="0.2">
      <c r="A180" s="1431" t="s">
        <v>167</v>
      </c>
      <c r="B180" s="551">
        <v>2190</v>
      </c>
      <c r="C180" s="462">
        <v>0</v>
      </c>
      <c r="D180" s="462">
        <v>0</v>
      </c>
      <c r="E180" s="462">
        <v>0</v>
      </c>
      <c r="F180" s="1943">
        <v>0</v>
      </c>
      <c r="G180" s="462">
        <v>0</v>
      </c>
      <c r="H180" s="462">
        <v>0</v>
      </c>
      <c r="I180" s="462">
        <v>0</v>
      </c>
      <c r="J180" s="462">
        <v>0</v>
      </c>
      <c r="K180" s="1944">
        <f>SUM(C180:J180)</f>
        <v>0</v>
      </c>
      <c r="L180" s="462">
        <v>0</v>
      </c>
    </row>
    <row r="181" spans="1:14" ht="15.75" customHeight="1" x14ac:dyDescent="0.2">
      <c r="A181" s="557" t="s">
        <v>632</v>
      </c>
      <c r="B181" s="598"/>
      <c r="C181" s="1863"/>
      <c r="D181" s="1863"/>
      <c r="E181" s="1863"/>
      <c r="F181" s="1942"/>
      <c r="G181" s="1863"/>
      <c r="H181" s="1863"/>
      <c r="I181" s="463"/>
      <c r="J181" s="463"/>
      <c r="K181" s="1863"/>
      <c r="L181" s="1863"/>
    </row>
    <row r="182" spans="1:14" ht="12.75" customHeight="1" x14ac:dyDescent="0.2">
      <c r="A182" s="1431" t="s">
        <v>1009</v>
      </c>
      <c r="B182" s="551">
        <v>2550</v>
      </c>
      <c r="C182" s="461">
        <v>3346376</v>
      </c>
      <c r="D182" s="461">
        <v>542311</v>
      </c>
      <c r="E182" s="461">
        <v>1367091</v>
      </c>
      <c r="F182" s="461">
        <v>976388</v>
      </c>
      <c r="G182" s="461">
        <v>470639</v>
      </c>
      <c r="H182" s="461">
        <v>0</v>
      </c>
      <c r="I182" s="461">
        <v>0</v>
      </c>
      <c r="J182" s="461">
        <v>0</v>
      </c>
      <c r="K182" s="1913">
        <f>SUM(C182:J182)</f>
        <v>6702805</v>
      </c>
      <c r="L182" s="461">
        <v>7061136</v>
      </c>
    </row>
    <row r="183" spans="1:14" ht="12.75" customHeight="1" thickBot="1" x14ac:dyDescent="0.25">
      <c r="A183" s="1436" t="s">
        <v>1036</v>
      </c>
      <c r="B183" s="599">
        <v>2900</v>
      </c>
      <c r="C183" s="1877">
        <v>0</v>
      </c>
      <c r="D183" s="1877">
        <v>0</v>
      </c>
      <c r="E183" s="1877">
        <v>0</v>
      </c>
      <c r="F183" s="1877">
        <v>0</v>
      </c>
      <c r="G183" s="1877">
        <v>0</v>
      </c>
      <c r="H183" s="1877">
        <v>0</v>
      </c>
      <c r="I183" s="1877">
        <v>0</v>
      </c>
      <c r="J183" s="1877">
        <v>0</v>
      </c>
      <c r="K183" s="1922">
        <f>SUM(C183:J183)</f>
        <v>0</v>
      </c>
      <c r="L183" s="1877">
        <v>0</v>
      </c>
    </row>
    <row r="184" spans="1:14" ht="12.75" customHeight="1" thickTop="1" thickBot="1" x14ac:dyDescent="0.25">
      <c r="A184" s="1597" t="s">
        <v>864</v>
      </c>
      <c r="B184" s="1584" t="s">
        <v>589</v>
      </c>
      <c r="C184" s="1922">
        <f t="shared" ref="C184:K184" si="18">SUM(C180,C182,C183)</f>
        <v>3346376</v>
      </c>
      <c r="D184" s="1922">
        <f t="shared" si="18"/>
        <v>542311</v>
      </c>
      <c r="E184" s="1922">
        <f t="shared" si="18"/>
        <v>1367091</v>
      </c>
      <c r="F184" s="1946">
        <f t="shared" si="18"/>
        <v>976388</v>
      </c>
      <c r="G184" s="1922">
        <f t="shared" si="18"/>
        <v>470639</v>
      </c>
      <c r="H184" s="1922">
        <f t="shared" si="18"/>
        <v>0</v>
      </c>
      <c r="I184" s="1922">
        <f t="shared" si="18"/>
        <v>0</v>
      </c>
      <c r="J184" s="1922">
        <f t="shared" si="18"/>
        <v>0</v>
      </c>
      <c r="K184" s="1922">
        <f t="shared" si="18"/>
        <v>6702805</v>
      </c>
      <c r="L184" s="1922">
        <f>SUM(L180, L182:L183)</f>
        <v>7061136</v>
      </c>
    </row>
    <row r="185" spans="1:14" ht="15.75" customHeight="1" thickTop="1" thickBot="1" x14ac:dyDescent="0.25">
      <c r="A185" s="1540" t="s">
        <v>995</v>
      </c>
      <c r="B185" s="1529">
        <v>3000</v>
      </c>
      <c r="C185" s="1875">
        <v>0</v>
      </c>
      <c r="D185" s="1875">
        <v>0</v>
      </c>
      <c r="E185" s="1875">
        <v>0</v>
      </c>
      <c r="F185" s="1945">
        <v>0</v>
      </c>
      <c r="G185" s="1945">
        <v>0</v>
      </c>
      <c r="H185" s="1947">
        <v>0</v>
      </c>
      <c r="I185" s="1948">
        <v>0</v>
      </c>
      <c r="J185" s="1877">
        <v>0</v>
      </c>
      <c r="K185" s="1915">
        <f>SUM(C185:J185)</f>
        <v>0</v>
      </c>
      <c r="L185" s="1877">
        <v>0</v>
      </c>
    </row>
    <row r="186" spans="1:14" s="596" customFormat="1" ht="15.75" customHeight="1" thickTop="1" x14ac:dyDescent="0.2">
      <c r="A186" s="1524" t="s">
        <v>93</v>
      </c>
      <c r="B186" s="1527" t="s">
        <v>914</v>
      </c>
      <c r="C186" s="1914"/>
      <c r="D186" s="1914"/>
      <c r="E186" s="1914"/>
      <c r="F186" s="1949"/>
      <c r="G186" s="1914"/>
      <c r="H186" s="1914"/>
      <c r="I186" s="1914"/>
      <c r="J186" s="1914"/>
      <c r="K186" s="1914"/>
      <c r="L186" s="1914"/>
      <c r="M186" s="587"/>
      <c r="N186" s="587"/>
    </row>
    <row r="187" spans="1:14" s="596" customFormat="1" ht="15.75" customHeight="1" x14ac:dyDescent="0.2">
      <c r="A187" s="555" t="s">
        <v>1192</v>
      </c>
      <c r="B187" s="556"/>
      <c r="C187" s="1914"/>
      <c r="D187" s="1914"/>
      <c r="E187" s="1914"/>
      <c r="F187" s="1949"/>
      <c r="G187" s="1914"/>
      <c r="H187" s="1914"/>
      <c r="I187" s="1914"/>
      <c r="J187" s="1914"/>
      <c r="K187" s="1914"/>
      <c r="L187" s="1914"/>
      <c r="M187" s="587"/>
      <c r="N187" s="587"/>
    </row>
    <row r="188" spans="1:14" x14ac:dyDescent="0.2">
      <c r="A188" s="1431" t="s">
        <v>516</v>
      </c>
      <c r="B188" s="551">
        <v>4110</v>
      </c>
      <c r="C188" s="1914"/>
      <c r="D188" s="1914"/>
      <c r="E188" s="461">
        <v>0</v>
      </c>
      <c r="F188" s="1949"/>
      <c r="G188" s="1914"/>
      <c r="H188" s="461">
        <v>0</v>
      </c>
      <c r="I188" s="469"/>
      <c r="J188" s="1914"/>
      <c r="K188" s="1913">
        <f t="shared" ref="K188:K193" si="19">SUM(E188,H188)</f>
        <v>0</v>
      </c>
      <c r="L188" s="461">
        <v>0</v>
      </c>
    </row>
    <row r="189" spans="1:14" x14ac:dyDescent="0.2">
      <c r="A189" s="1431" t="s">
        <v>321</v>
      </c>
      <c r="B189" s="551">
        <v>4120</v>
      </c>
      <c r="C189" s="1914"/>
      <c r="D189" s="1914"/>
      <c r="E189" s="461">
        <v>0</v>
      </c>
      <c r="F189" s="1949"/>
      <c r="G189" s="1914"/>
      <c r="H189" s="461">
        <v>0</v>
      </c>
      <c r="I189" s="469"/>
      <c r="J189" s="1914"/>
      <c r="K189" s="1913">
        <f t="shared" si="19"/>
        <v>0</v>
      </c>
      <c r="L189" s="461">
        <v>0</v>
      </c>
    </row>
    <row r="190" spans="1:14" x14ac:dyDescent="0.2">
      <c r="A190" s="1431" t="s">
        <v>322</v>
      </c>
      <c r="B190" s="560">
        <v>4130</v>
      </c>
      <c r="C190" s="1914"/>
      <c r="D190" s="1914"/>
      <c r="E190" s="461">
        <v>0</v>
      </c>
      <c r="F190" s="1949"/>
      <c r="G190" s="1914"/>
      <c r="H190" s="461">
        <v>0</v>
      </c>
      <c r="I190" s="469"/>
      <c r="J190" s="1914"/>
      <c r="K190" s="1913">
        <f t="shared" si="19"/>
        <v>0</v>
      </c>
      <c r="L190" s="461">
        <v>0</v>
      </c>
    </row>
    <row r="191" spans="1:14" x14ac:dyDescent="0.2">
      <c r="A191" s="1431" t="s">
        <v>720</v>
      </c>
      <c r="B191" s="551">
        <v>4140</v>
      </c>
      <c r="C191" s="1914"/>
      <c r="D191" s="1914"/>
      <c r="E191" s="461">
        <v>0</v>
      </c>
      <c r="F191" s="1949"/>
      <c r="G191" s="1914"/>
      <c r="H191" s="461">
        <v>0</v>
      </c>
      <c r="I191" s="469"/>
      <c r="J191" s="1914"/>
      <c r="K191" s="1913">
        <f t="shared" si="19"/>
        <v>0</v>
      </c>
      <c r="L191" s="461">
        <v>0</v>
      </c>
    </row>
    <row r="192" spans="1:14" x14ac:dyDescent="0.2">
      <c r="A192" s="1431" t="s">
        <v>88</v>
      </c>
      <c r="B192" s="551">
        <v>4170</v>
      </c>
      <c r="C192" s="1914"/>
      <c r="D192" s="1914"/>
      <c r="E192" s="461">
        <v>0</v>
      </c>
      <c r="F192" s="1949"/>
      <c r="G192" s="1914"/>
      <c r="H192" s="461">
        <v>0</v>
      </c>
      <c r="I192" s="469"/>
      <c r="J192" s="1914"/>
      <c r="K192" s="1913">
        <f t="shared" si="19"/>
        <v>0</v>
      </c>
      <c r="L192" s="461">
        <v>0</v>
      </c>
    </row>
    <row r="193" spans="1:14" x14ac:dyDescent="0.2">
      <c r="A193" s="1435" t="s">
        <v>721</v>
      </c>
      <c r="B193" s="560">
        <v>4190</v>
      </c>
      <c r="C193" s="1914"/>
      <c r="D193" s="1914"/>
      <c r="E193" s="461">
        <v>0</v>
      </c>
      <c r="F193" s="1949"/>
      <c r="G193" s="1914"/>
      <c r="H193" s="461">
        <v>0</v>
      </c>
      <c r="I193" s="469"/>
      <c r="J193" s="1914"/>
      <c r="K193" s="1913">
        <f t="shared" si="19"/>
        <v>0</v>
      </c>
      <c r="L193" s="461">
        <v>0</v>
      </c>
    </row>
    <row r="194" spans="1:14" ht="12.75" customHeight="1" thickBot="1" x14ac:dyDescent="0.25">
      <c r="A194" s="1583" t="s">
        <v>1201</v>
      </c>
      <c r="B194" s="1584" t="s">
        <v>579</v>
      </c>
      <c r="C194" s="1914"/>
      <c r="D194" s="1914"/>
      <c r="E194" s="1915">
        <f>SUM(E188:E193)</f>
        <v>0</v>
      </c>
      <c r="F194" s="1949"/>
      <c r="G194" s="1914"/>
      <c r="H194" s="1915">
        <f>SUM(H188:H193)</f>
        <v>0</v>
      </c>
      <c r="I194" s="469"/>
      <c r="J194" s="1914"/>
      <c r="K194" s="1915">
        <f>SUM(K188:K193)</f>
        <v>0</v>
      </c>
      <c r="L194" s="1915">
        <f>SUM(L188:L193)</f>
        <v>0</v>
      </c>
    </row>
    <row r="195" spans="1:14" ht="15.75" customHeight="1" thickTop="1" x14ac:dyDescent="0.2">
      <c r="A195" s="591" t="s">
        <v>94</v>
      </c>
      <c r="B195" s="600" t="s">
        <v>987</v>
      </c>
      <c r="C195" s="1914"/>
      <c r="D195" s="1914"/>
      <c r="E195" s="1880">
        <v>0</v>
      </c>
      <c r="F195" s="1949"/>
      <c r="G195" s="1914"/>
      <c r="H195" s="1880">
        <v>0</v>
      </c>
      <c r="I195" s="469"/>
      <c r="J195" s="1914"/>
      <c r="K195" s="1937">
        <f>SUM(E195,H195)</f>
        <v>0</v>
      </c>
      <c r="L195" s="1880">
        <v>0</v>
      </c>
    </row>
    <row r="196" spans="1:14" ht="12.75" customHeight="1" thickBot="1" x14ac:dyDescent="0.25">
      <c r="A196" s="1583" t="s">
        <v>1566</v>
      </c>
      <c r="B196" s="1584" t="s">
        <v>914</v>
      </c>
      <c r="C196" s="1914"/>
      <c r="D196" s="1914"/>
      <c r="E196" s="1922">
        <f>SUM(E194,E195)</f>
        <v>0</v>
      </c>
      <c r="F196" s="1949"/>
      <c r="G196" s="1914"/>
      <c r="H196" s="1922">
        <f>SUM(H194,H195)</f>
        <v>0</v>
      </c>
      <c r="I196" s="469"/>
      <c r="J196" s="1914"/>
      <c r="K196" s="1922">
        <f>SUM(K194,K195)</f>
        <v>0</v>
      </c>
      <c r="L196" s="1922">
        <f>SUM(L194,L195)</f>
        <v>0</v>
      </c>
    </row>
    <row r="197" spans="1:14" s="596" customFormat="1" ht="15.75" customHeight="1" thickTop="1" x14ac:dyDescent="0.2">
      <c r="A197" s="1530" t="s">
        <v>996</v>
      </c>
      <c r="B197" s="1527" t="s">
        <v>512</v>
      </c>
      <c r="C197" s="1914"/>
      <c r="D197" s="1914"/>
      <c r="E197" s="1914"/>
      <c r="F197" s="1949"/>
      <c r="G197" s="1914"/>
      <c r="H197" s="1914"/>
      <c r="I197" s="1914"/>
      <c r="J197" s="1914"/>
      <c r="K197" s="1914"/>
      <c r="L197" s="1914"/>
      <c r="M197" s="587"/>
      <c r="N197" s="587"/>
    </row>
    <row r="198" spans="1:14" s="596" customFormat="1" ht="15.75" customHeight="1" x14ac:dyDescent="0.2">
      <c r="A198" s="578" t="s">
        <v>95</v>
      </c>
      <c r="B198" s="556"/>
      <c r="C198" s="1914"/>
      <c r="D198" s="1914"/>
      <c r="E198" s="1914"/>
      <c r="F198" s="1949"/>
      <c r="G198" s="1914"/>
      <c r="H198" s="1914"/>
      <c r="I198" s="1914"/>
      <c r="J198" s="1914"/>
      <c r="K198" s="1914"/>
      <c r="L198" s="1914"/>
      <c r="M198" s="587"/>
      <c r="N198" s="587"/>
    </row>
    <row r="199" spans="1:14" x14ac:dyDescent="0.2">
      <c r="A199" s="1431" t="s">
        <v>89</v>
      </c>
      <c r="B199" s="551">
        <v>5110</v>
      </c>
      <c r="C199" s="1914"/>
      <c r="D199" s="1914"/>
      <c r="E199" s="1914"/>
      <c r="F199" s="1949"/>
      <c r="G199" s="1914"/>
      <c r="H199" s="461">
        <v>0</v>
      </c>
      <c r="I199" s="1914"/>
      <c r="J199" s="1914"/>
      <c r="K199" s="1913">
        <f>SUM(H199)</f>
        <v>0</v>
      </c>
      <c r="L199" s="461">
        <v>0</v>
      </c>
    </row>
    <row r="200" spans="1:14" x14ac:dyDescent="0.2">
      <c r="A200" s="1431" t="s">
        <v>90</v>
      </c>
      <c r="B200" s="551">
        <v>5120</v>
      </c>
      <c r="C200" s="1914"/>
      <c r="D200" s="1914"/>
      <c r="E200" s="1914"/>
      <c r="F200" s="1949"/>
      <c r="G200" s="1914"/>
      <c r="H200" s="461">
        <v>0</v>
      </c>
      <c r="I200" s="1914"/>
      <c r="J200" s="1914"/>
      <c r="K200" s="1913">
        <f>SUM(H200)</f>
        <v>0</v>
      </c>
      <c r="L200" s="461">
        <v>0</v>
      </c>
    </row>
    <row r="201" spans="1:14" ht="12.75" customHeight="1" x14ac:dyDescent="0.2">
      <c r="A201" s="1431" t="s">
        <v>1231</v>
      </c>
      <c r="B201" s="560" t="s">
        <v>637</v>
      </c>
      <c r="C201" s="1914"/>
      <c r="D201" s="1914"/>
      <c r="E201" s="1914"/>
      <c r="F201" s="1949"/>
      <c r="G201" s="1914"/>
      <c r="H201" s="461">
        <v>0</v>
      </c>
      <c r="I201" s="1914"/>
      <c r="J201" s="1914"/>
      <c r="K201" s="1913">
        <f>SUM(H201)</f>
        <v>0</v>
      </c>
      <c r="L201" s="461">
        <v>0</v>
      </c>
    </row>
    <row r="202" spans="1:14" x14ac:dyDescent="0.2">
      <c r="A202" s="1431" t="s">
        <v>91</v>
      </c>
      <c r="B202" s="551" t="s">
        <v>609</v>
      </c>
      <c r="C202" s="1914"/>
      <c r="D202" s="1914"/>
      <c r="E202" s="1914"/>
      <c r="F202" s="1949"/>
      <c r="G202" s="1914"/>
      <c r="H202" s="461">
        <v>0</v>
      </c>
      <c r="I202" s="1914"/>
      <c r="J202" s="1914"/>
      <c r="K202" s="1913">
        <f>SUM(H202)</f>
        <v>0</v>
      </c>
      <c r="L202" s="461">
        <v>0</v>
      </c>
    </row>
    <row r="203" spans="1:14" x14ac:dyDescent="0.2">
      <c r="A203" s="1443" t="s">
        <v>639</v>
      </c>
      <c r="B203" s="551" t="s">
        <v>638</v>
      </c>
      <c r="C203" s="1914"/>
      <c r="D203" s="1914"/>
      <c r="E203" s="1914"/>
      <c r="F203" s="1949"/>
      <c r="G203" s="1914"/>
      <c r="H203" s="1828">
        <v>0</v>
      </c>
      <c r="I203" s="1914"/>
      <c r="J203" s="1914"/>
      <c r="K203" s="1913">
        <f>SUM(H203)</f>
        <v>0</v>
      </c>
      <c r="L203" s="1828">
        <v>0</v>
      </c>
    </row>
    <row r="204" spans="1:14" ht="13.5" thickBot="1" x14ac:dyDescent="0.25">
      <c r="A204" s="1583" t="s">
        <v>293</v>
      </c>
      <c r="B204" s="1584" t="s">
        <v>741</v>
      </c>
      <c r="C204" s="1914"/>
      <c r="D204" s="1914"/>
      <c r="E204" s="1914"/>
      <c r="F204" s="1949"/>
      <c r="G204" s="1914"/>
      <c r="H204" s="1915">
        <f>SUM(H199:H203)</f>
        <v>0</v>
      </c>
      <c r="I204" s="1914"/>
      <c r="J204" s="1914"/>
      <c r="K204" s="1915">
        <f>SUM(K199:K203)</f>
        <v>0</v>
      </c>
      <c r="L204" s="1915">
        <f>SUM(L199:L203)</f>
        <v>0</v>
      </c>
    </row>
    <row r="205" spans="1:14" ht="15.75" customHeight="1" thickTop="1" x14ac:dyDescent="0.2">
      <c r="A205" s="601" t="s">
        <v>85</v>
      </c>
      <c r="B205" s="602" t="s">
        <v>38</v>
      </c>
      <c r="C205" s="1914"/>
      <c r="D205" s="1914"/>
      <c r="E205" s="1914"/>
      <c r="F205" s="1949"/>
      <c r="G205" s="1914"/>
      <c r="H205" s="1880">
        <v>18427</v>
      </c>
      <c r="I205" s="1914"/>
      <c r="J205" s="1914"/>
      <c r="K205" s="1950">
        <f>SUM(H205)</f>
        <v>18427</v>
      </c>
      <c r="L205" s="1880">
        <v>18429</v>
      </c>
    </row>
    <row r="206" spans="1:14" ht="30" customHeight="1" x14ac:dyDescent="0.2">
      <c r="A206" s="603" t="s">
        <v>1769</v>
      </c>
      <c r="B206" s="594" t="s">
        <v>31</v>
      </c>
      <c r="C206" s="1914"/>
      <c r="D206" s="1914"/>
      <c r="E206" s="1914"/>
      <c r="F206" s="1949"/>
      <c r="G206" s="1914"/>
      <c r="H206" s="461">
        <v>469403</v>
      </c>
      <c r="I206" s="1914"/>
      <c r="J206" s="1914"/>
      <c r="K206" s="1913">
        <f>SUM(H206)</f>
        <v>469403</v>
      </c>
      <c r="L206" s="461">
        <v>469392</v>
      </c>
    </row>
    <row r="207" spans="1:14" ht="15.75" customHeight="1" x14ac:dyDescent="0.2">
      <c r="A207" s="555" t="s">
        <v>789</v>
      </c>
      <c r="B207" s="594" t="s">
        <v>86</v>
      </c>
      <c r="C207" s="1914"/>
      <c r="D207" s="1914"/>
      <c r="E207" s="1914"/>
      <c r="F207" s="1949"/>
      <c r="G207" s="1914"/>
      <c r="H207" s="461">
        <v>0</v>
      </c>
      <c r="I207" s="1914"/>
      <c r="J207" s="1914"/>
      <c r="K207" s="1951">
        <f>H207</f>
        <v>0</v>
      </c>
      <c r="L207" s="461">
        <v>0</v>
      </c>
    </row>
    <row r="208" spans="1:14" ht="12.75" customHeight="1" thickBot="1" x14ac:dyDescent="0.25">
      <c r="A208" s="1592" t="s">
        <v>658</v>
      </c>
      <c r="B208" s="1593" t="s">
        <v>512</v>
      </c>
      <c r="C208" s="1914"/>
      <c r="D208" s="1914"/>
      <c r="E208" s="1914"/>
      <c r="F208" s="1949"/>
      <c r="G208" s="1914"/>
      <c r="H208" s="1922">
        <f>SUM(H204,H205,H206,H207)</f>
        <v>487830</v>
      </c>
      <c r="I208" s="1914"/>
      <c r="J208" s="1914"/>
      <c r="K208" s="1922">
        <f>SUM(K204,K205,K206,K207)</f>
        <v>487830</v>
      </c>
      <c r="L208" s="1922">
        <f>SUM(L204,L205,L206,L207)</f>
        <v>487821</v>
      </c>
    </row>
    <row r="209" spans="1:14" ht="15.75" customHeight="1" thickTop="1" thickBot="1" x14ac:dyDescent="0.25">
      <c r="A209" s="1524" t="s">
        <v>926</v>
      </c>
      <c r="B209" s="1531" t="s">
        <v>915</v>
      </c>
      <c r="C209" s="1917"/>
      <c r="D209" s="1917"/>
      <c r="E209" s="1917"/>
      <c r="F209" s="1952"/>
      <c r="G209" s="1917"/>
      <c r="H209" s="1917"/>
      <c r="I209" s="1914"/>
      <c r="J209" s="1914"/>
      <c r="K209" s="1917"/>
      <c r="L209" s="1875">
        <v>0</v>
      </c>
    </row>
    <row r="210" spans="1:14" ht="12.75" customHeight="1" thickTop="1" thickBot="1" x14ac:dyDescent="0.25">
      <c r="A210" s="1598" t="s">
        <v>294</v>
      </c>
      <c r="B210" s="1599"/>
      <c r="C210" s="1915">
        <f>SUM(C184,C185)</f>
        <v>3346376</v>
      </c>
      <c r="D210" s="1915">
        <f>SUM(D184,D185)</f>
        <v>542311</v>
      </c>
      <c r="E210" s="1915">
        <f>SUM(E184,E185,E196)</f>
        <v>1367091</v>
      </c>
      <c r="F210" s="1915">
        <f>SUM(F184,F185)</f>
        <v>976388</v>
      </c>
      <c r="G210" s="1915">
        <f>SUM(G184,G185)</f>
        <v>470639</v>
      </c>
      <c r="H210" s="1915">
        <f>SUM(H184,H185,H196,H208,H209)</f>
        <v>487830</v>
      </c>
      <c r="I210" s="1915">
        <f>SUM(I184,I185)</f>
        <v>0</v>
      </c>
      <c r="J210" s="1915">
        <f>SUM(J184,J185)</f>
        <v>0</v>
      </c>
      <c r="K210" s="1913">
        <f>SUM(K184,K185,K196,K208,K209)</f>
        <v>7190635</v>
      </c>
      <c r="L210" s="1915">
        <f>SUM(L184,L185,L196,L208,L209)</f>
        <v>7548957</v>
      </c>
    </row>
    <row r="211" spans="1:14" ht="13.5" thickTop="1" x14ac:dyDescent="0.2">
      <c r="A211" s="2251" t="s">
        <v>1052</v>
      </c>
      <c r="B211" s="2252"/>
      <c r="C211" s="1916"/>
      <c r="D211" s="1916"/>
      <c r="E211" s="1916"/>
      <c r="F211" s="1916"/>
      <c r="G211" s="1916"/>
      <c r="H211" s="1916"/>
      <c r="I211" s="1914"/>
      <c r="J211" s="1914"/>
      <c r="K211" s="1953">
        <f>'Revenues 9-14'!F275-'Expenditures 15-22'!K210</f>
        <v>454766</v>
      </c>
      <c r="L211" s="1916"/>
    </row>
    <row r="212" spans="1:14" s="588" customFormat="1" ht="9" customHeight="1" x14ac:dyDescent="0.2">
      <c r="A212" s="585"/>
      <c r="B212" s="595"/>
      <c r="C212" s="1932"/>
      <c r="D212" s="1932"/>
      <c r="E212" s="1932"/>
      <c r="F212" s="1932"/>
      <c r="G212" s="1932"/>
      <c r="H212" s="1932"/>
      <c r="I212" s="1932"/>
      <c r="J212" s="1932"/>
      <c r="K212" s="1932"/>
      <c r="L212" s="1932"/>
      <c r="M212" s="587"/>
      <c r="N212" s="587"/>
    </row>
    <row r="213" spans="1:14" s="339" customFormat="1" ht="16.7" customHeight="1" x14ac:dyDescent="0.2">
      <c r="A213" s="2246" t="s">
        <v>1021</v>
      </c>
      <c r="B213" s="2247"/>
      <c r="C213" s="1933"/>
      <c r="D213" s="1934"/>
      <c r="E213" s="1934"/>
      <c r="F213" s="1934"/>
      <c r="G213" s="1934"/>
      <c r="H213" s="1934"/>
      <c r="I213" s="1934"/>
      <c r="J213" s="1934"/>
      <c r="K213" s="1934"/>
      <c r="L213" s="1935"/>
      <c r="M213" s="546"/>
      <c r="N213" s="546"/>
    </row>
    <row r="214" spans="1:14" s="596" customFormat="1" ht="15.75" customHeight="1" x14ac:dyDescent="0.2">
      <c r="A214" s="1541" t="s">
        <v>927</v>
      </c>
      <c r="B214" s="1533" t="s">
        <v>590</v>
      </c>
      <c r="C214" s="1914"/>
      <c r="D214" s="1917"/>
      <c r="E214" s="1914"/>
      <c r="F214" s="1914"/>
      <c r="G214" s="1914"/>
      <c r="H214" s="1914"/>
      <c r="I214" s="1914"/>
      <c r="J214" s="1914"/>
      <c r="K214" s="1917"/>
      <c r="L214" s="1917"/>
      <c r="M214" s="587"/>
      <c r="N214" s="587"/>
    </row>
    <row r="215" spans="1:14" x14ac:dyDescent="0.2">
      <c r="A215" s="1431" t="s">
        <v>1017</v>
      </c>
      <c r="B215" s="551">
        <v>1100</v>
      </c>
      <c r="C215" s="1914"/>
      <c r="D215" s="461">
        <v>672069</v>
      </c>
      <c r="E215" s="1914"/>
      <c r="F215" s="1914"/>
      <c r="G215" s="1914"/>
      <c r="H215" s="1914"/>
      <c r="I215" s="1914"/>
      <c r="J215" s="1914"/>
      <c r="K215" s="1913">
        <f>D215</f>
        <v>672069</v>
      </c>
      <c r="L215" s="461">
        <v>693131</v>
      </c>
    </row>
    <row r="216" spans="1:14" x14ac:dyDescent="0.2">
      <c r="A216" s="1431" t="s">
        <v>165</v>
      </c>
      <c r="B216" s="551" t="s">
        <v>1023</v>
      </c>
      <c r="C216" s="1914"/>
      <c r="D216" s="461">
        <v>0</v>
      </c>
      <c r="E216" s="1914"/>
      <c r="F216" s="1914"/>
      <c r="G216" s="1914"/>
      <c r="H216" s="1914"/>
      <c r="I216" s="1914"/>
      <c r="J216" s="1914"/>
      <c r="K216" s="1913">
        <f t="shared" ref="K216:K228" si="20">D216</f>
        <v>0</v>
      </c>
      <c r="L216" s="461">
        <v>0</v>
      </c>
    </row>
    <row r="217" spans="1:14" x14ac:dyDescent="0.2">
      <c r="A217" s="1431" t="s">
        <v>166</v>
      </c>
      <c r="B217" s="551">
        <v>1200</v>
      </c>
      <c r="C217" s="1914"/>
      <c r="D217" s="461">
        <v>802604</v>
      </c>
      <c r="E217" s="1914"/>
      <c r="F217" s="1914"/>
      <c r="G217" s="1914"/>
      <c r="H217" s="1914"/>
      <c r="I217" s="1914"/>
      <c r="J217" s="1914"/>
      <c r="K217" s="1913">
        <f t="shared" si="20"/>
        <v>802604</v>
      </c>
      <c r="L217" s="461">
        <v>802604</v>
      </c>
    </row>
    <row r="218" spans="1:14" x14ac:dyDescent="0.2">
      <c r="A218" s="1431" t="s">
        <v>295</v>
      </c>
      <c r="B218" s="551" t="s">
        <v>1024</v>
      </c>
      <c r="C218" s="1914"/>
      <c r="D218" s="461">
        <v>0</v>
      </c>
      <c r="E218" s="1914"/>
      <c r="F218" s="1914"/>
      <c r="G218" s="1914"/>
      <c r="H218" s="1914"/>
      <c r="I218" s="1914"/>
      <c r="J218" s="1914"/>
      <c r="K218" s="1913">
        <f t="shared" si="20"/>
        <v>0</v>
      </c>
      <c r="L218" s="461">
        <v>0</v>
      </c>
    </row>
    <row r="219" spans="1:14" x14ac:dyDescent="0.2">
      <c r="A219" s="1431" t="s">
        <v>296</v>
      </c>
      <c r="B219" s="551">
        <v>1250</v>
      </c>
      <c r="C219" s="1914"/>
      <c r="D219" s="461">
        <v>17084</v>
      </c>
      <c r="E219" s="1914"/>
      <c r="F219" s="1914"/>
      <c r="G219" s="1914"/>
      <c r="H219" s="1914"/>
      <c r="I219" s="1914"/>
      <c r="J219" s="1914"/>
      <c r="K219" s="1913">
        <f t="shared" si="20"/>
        <v>17084</v>
      </c>
      <c r="L219" s="461">
        <v>17091</v>
      </c>
    </row>
    <row r="220" spans="1:14" x14ac:dyDescent="0.2">
      <c r="A220" s="1431" t="s">
        <v>297</v>
      </c>
      <c r="B220" s="551" t="s">
        <v>163</v>
      </c>
      <c r="C220" s="1914"/>
      <c r="D220" s="461">
        <v>0</v>
      </c>
      <c r="E220" s="1914"/>
      <c r="F220" s="1914"/>
      <c r="G220" s="1914"/>
      <c r="H220" s="1914"/>
      <c r="I220" s="1914"/>
      <c r="J220" s="1914"/>
      <c r="K220" s="1913">
        <f t="shared" si="20"/>
        <v>0</v>
      </c>
      <c r="L220" s="461">
        <v>0</v>
      </c>
    </row>
    <row r="221" spans="1:14" x14ac:dyDescent="0.2">
      <c r="A221" s="1431" t="s">
        <v>1018</v>
      </c>
      <c r="B221" s="551">
        <v>1300</v>
      </c>
      <c r="C221" s="1914"/>
      <c r="D221" s="461">
        <v>0</v>
      </c>
      <c r="E221" s="1914"/>
      <c r="F221" s="1914"/>
      <c r="G221" s="1914"/>
      <c r="H221" s="1914"/>
      <c r="I221" s="1914"/>
      <c r="J221" s="1914"/>
      <c r="K221" s="1913">
        <f t="shared" si="20"/>
        <v>0</v>
      </c>
      <c r="L221" s="461">
        <v>0</v>
      </c>
    </row>
    <row r="222" spans="1:14" x14ac:dyDescent="0.2">
      <c r="A222" s="1431" t="s">
        <v>746</v>
      </c>
      <c r="B222" s="551">
        <v>1400</v>
      </c>
      <c r="C222" s="1914"/>
      <c r="D222" s="461">
        <v>0</v>
      </c>
      <c r="E222" s="1914"/>
      <c r="F222" s="1914"/>
      <c r="G222" s="1914"/>
      <c r="H222" s="1914"/>
      <c r="I222" s="1914"/>
      <c r="J222" s="1914"/>
      <c r="K222" s="1913">
        <f t="shared" si="20"/>
        <v>0</v>
      </c>
      <c r="L222" s="461">
        <v>0</v>
      </c>
    </row>
    <row r="223" spans="1:14" x14ac:dyDescent="0.2">
      <c r="A223" s="1431" t="s">
        <v>1019</v>
      </c>
      <c r="B223" s="551">
        <v>1500</v>
      </c>
      <c r="C223" s="1914"/>
      <c r="D223" s="461">
        <v>4943</v>
      </c>
      <c r="E223" s="1914"/>
      <c r="F223" s="1914"/>
      <c r="G223" s="1914"/>
      <c r="H223" s="1914"/>
      <c r="I223" s="1914"/>
      <c r="J223" s="1914"/>
      <c r="K223" s="1913">
        <f t="shared" si="20"/>
        <v>4943</v>
      </c>
      <c r="L223" s="461">
        <v>4942</v>
      </c>
    </row>
    <row r="224" spans="1:14" x14ac:dyDescent="0.2">
      <c r="A224" s="1431" t="s">
        <v>1020</v>
      </c>
      <c r="B224" s="551">
        <v>1600</v>
      </c>
      <c r="C224" s="1914"/>
      <c r="D224" s="461">
        <v>13426</v>
      </c>
      <c r="E224" s="1914"/>
      <c r="F224" s="1914"/>
      <c r="G224" s="1914"/>
      <c r="H224" s="1914"/>
      <c r="I224" s="1914"/>
      <c r="J224" s="1914"/>
      <c r="K224" s="1913">
        <f t="shared" si="20"/>
        <v>13426</v>
      </c>
      <c r="L224" s="461">
        <v>13426</v>
      </c>
    </row>
    <row r="225" spans="1:12" x14ac:dyDescent="0.2">
      <c r="A225" s="1431" t="s">
        <v>1043</v>
      </c>
      <c r="B225" s="551">
        <v>1650</v>
      </c>
      <c r="C225" s="1914"/>
      <c r="D225" s="461">
        <v>7770</v>
      </c>
      <c r="E225" s="1914"/>
      <c r="F225" s="1914"/>
      <c r="G225" s="1914"/>
      <c r="H225" s="1914"/>
      <c r="I225" s="1914"/>
      <c r="J225" s="1914"/>
      <c r="K225" s="1913">
        <f t="shared" si="20"/>
        <v>7770</v>
      </c>
      <c r="L225" s="461">
        <v>8206</v>
      </c>
    </row>
    <row r="226" spans="1:12" x14ac:dyDescent="0.2">
      <c r="A226" s="1431" t="s">
        <v>747</v>
      </c>
      <c r="B226" s="551" t="s">
        <v>164</v>
      </c>
      <c r="C226" s="1914"/>
      <c r="D226" s="461">
        <v>2053</v>
      </c>
      <c r="E226" s="1914"/>
      <c r="F226" s="1914"/>
      <c r="G226" s="1914"/>
      <c r="H226" s="1914"/>
      <c r="I226" s="1914"/>
      <c r="J226" s="1914"/>
      <c r="K226" s="1913">
        <f t="shared" si="20"/>
        <v>2053</v>
      </c>
      <c r="L226" s="461">
        <v>2052</v>
      </c>
    </row>
    <row r="227" spans="1:12" x14ac:dyDescent="0.2">
      <c r="A227" s="1431" t="s">
        <v>1147</v>
      </c>
      <c r="B227" s="551">
        <v>1800</v>
      </c>
      <c r="C227" s="1914"/>
      <c r="D227" s="461">
        <v>76582</v>
      </c>
      <c r="E227" s="1914"/>
      <c r="F227" s="1914"/>
      <c r="G227" s="1914"/>
      <c r="H227" s="1914"/>
      <c r="I227" s="1914"/>
      <c r="J227" s="1914"/>
      <c r="K227" s="1913">
        <f t="shared" si="20"/>
        <v>76582</v>
      </c>
      <c r="L227" s="461">
        <v>84700</v>
      </c>
    </row>
    <row r="228" spans="1:12" x14ac:dyDescent="0.2">
      <c r="A228" s="1431" t="s">
        <v>1148</v>
      </c>
      <c r="B228" s="551">
        <v>1900</v>
      </c>
      <c r="C228" s="1914"/>
      <c r="D228" s="461">
        <v>33757</v>
      </c>
      <c r="E228" s="1914"/>
      <c r="F228" s="1914"/>
      <c r="G228" s="1914"/>
      <c r="H228" s="1914"/>
      <c r="I228" s="1914"/>
      <c r="J228" s="1914"/>
      <c r="K228" s="1913">
        <f t="shared" si="20"/>
        <v>33757</v>
      </c>
      <c r="L228" s="461">
        <v>33706</v>
      </c>
    </row>
    <row r="229" spans="1:12" ht="12.75" customHeight="1" thickBot="1" x14ac:dyDescent="0.25">
      <c r="A229" s="1583" t="s">
        <v>738</v>
      </c>
      <c r="B229" s="1586" t="s">
        <v>590</v>
      </c>
      <c r="C229" s="1914"/>
      <c r="D229" s="1915">
        <f>SUM(D215:D228)</f>
        <v>1630288</v>
      </c>
      <c r="E229" s="1914"/>
      <c r="F229" s="1914"/>
      <c r="G229" s="1914"/>
      <c r="H229" s="1914"/>
      <c r="I229" s="1914"/>
      <c r="J229" s="1914"/>
      <c r="K229" s="1915">
        <f>SUM(K215:K228)</f>
        <v>1630288</v>
      </c>
      <c r="L229" s="1915">
        <f>SUM(L215:L228)</f>
        <v>1659858</v>
      </c>
    </row>
    <row r="230" spans="1:12" ht="15.75" customHeight="1" thickTop="1" x14ac:dyDescent="0.2">
      <c r="A230" s="1530" t="s">
        <v>928</v>
      </c>
      <c r="B230" s="1531" t="s">
        <v>589</v>
      </c>
      <c r="C230" s="1914"/>
      <c r="D230" s="1914"/>
      <c r="E230" s="1914"/>
      <c r="F230" s="1914"/>
      <c r="G230" s="1914"/>
      <c r="H230" s="1914"/>
      <c r="I230" s="1914"/>
      <c r="J230" s="1914"/>
      <c r="K230" s="1914"/>
      <c r="L230" s="1914"/>
    </row>
    <row r="231" spans="1:12" ht="15.75" customHeight="1" x14ac:dyDescent="0.2">
      <c r="A231" s="578" t="s">
        <v>611</v>
      </c>
      <c r="B231" s="556"/>
      <c r="C231" s="1914"/>
      <c r="D231" s="1914"/>
      <c r="E231" s="1914"/>
      <c r="F231" s="1914"/>
      <c r="G231" s="1914"/>
      <c r="H231" s="1914"/>
      <c r="I231" s="1914"/>
      <c r="J231" s="1914"/>
      <c r="K231" s="1914"/>
      <c r="L231" s="1914"/>
    </row>
    <row r="232" spans="1:12" x14ac:dyDescent="0.2">
      <c r="A232" s="1431" t="s">
        <v>1149</v>
      </c>
      <c r="B232" s="551">
        <v>2110</v>
      </c>
      <c r="C232" s="1914"/>
      <c r="D232" s="461">
        <v>74986</v>
      </c>
      <c r="E232" s="1914"/>
      <c r="F232" s="1914"/>
      <c r="G232" s="1914"/>
      <c r="H232" s="1914"/>
      <c r="I232" s="1914"/>
      <c r="J232" s="1914"/>
      <c r="K232" s="1913">
        <f t="shared" ref="K232:K237" si="21">D232</f>
        <v>74986</v>
      </c>
      <c r="L232" s="461">
        <v>70113</v>
      </c>
    </row>
    <row r="233" spans="1:12" x14ac:dyDescent="0.2">
      <c r="A233" s="1431" t="s">
        <v>1150</v>
      </c>
      <c r="B233" s="551">
        <v>2120</v>
      </c>
      <c r="C233" s="1914"/>
      <c r="D233" s="461">
        <v>28962</v>
      </c>
      <c r="E233" s="1914"/>
      <c r="F233" s="1914"/>
      <c r="G233" s="1914"/>
      <c r="H233" s="1914"/>
      <c r="I233" s="1914"/>
      <c r="J233" s="1914"/>
      <c r="K233" s="1913">
        <f t="shared" si="21"/>
        <v>28962</v>
      </c>
      <c r="L233" s="461">
        <v>29431</v>
      </c>
    </row>
    <row r="234" spans="1:12" x14ac:dyDescent="0.2">
      <c r="A234" s="1431" t="s">
        <v>207</v>
      </c>
      <c r="B234" s="551">
        <v>2130</v>
      </c>
      <c r="C234" s="1914"/>
      <c r="D234" s="461">
        <v>87939</v>
      </c>
      <c r="E234" s="1914"/>
      <c r="F234" s="1914"/>
      <c r="G234" s="1914"/>
      <c r="H234" s="1914"/>
      <c r="I234" s="1914"/>
      <c r="J234" s="1914"/>
      <c r="K234" s="1913">
        <f t="shared" si="21"/>
        <v>87939</v>
      </c>
      <c r="L234" s="461">
        <v>87940</v>
      </c>
    </row>
    <row r="235" spans="1:12" x14ac:dyDescent="0.2">
      <c r="A235" s="1431" t="s">
        <v>208</v>
      </c>
      <c r="B235" s="551">
        <v>2140</v>
      </c>
      <c r="C235" s="1914"/>
      <c r="D235" s="461">
        <v>10294</v>
      </c>
      <c r="E235" s="1914"/>
      <c r="F235" s="1914"/>
      <c r="G235" s="1914"/>
      <c r="H235" s="1914"/>
      <c r="I235" s="1914"/>
      <c r="J235" s="1914"/>
      <c r="K235" s="1913">
        <f t="shared" si="21"/>
        <v>10294</v>
      </c>
      <c r="L235" s="461">
        <v>10294</v>
      </c>
    </row>
    <row r="236" spans="1:12" x14ac:dyDescent="0.2">
      <c r="A236" s="1431" t="s">
        <v>209</v>
      </c>
      <c r="B236" s="551">
        <v>2150</v>
      </c>
      <c r="C236" s="1914"/>
      <c r="D236" s="461">
        <v>19270</v>
      </c>
      <c r="E236" s="1914"/>
      <c r="F236" s="1914"/>
      <c r="G236" s="1914"/>
      <c r="H236" s="1914"/>
      <c r="I236" s="1914"/>
      <c r="J236" s="1914"/>
      <c r="K236" s="1913">
        <f t="shared" si="21"/>
        <v>19270</v>
      </c>
      <c r="L236" s="461">
        <v>19972</v>
      </c>
    </row>
    <row r="237" spans="1:12" x14ac:dyDescent="0.2">
      <c r="A237" s="1431" t="s">
        <v>167</v>
      </c>
      <c r="B237" s="551">
        <v>2190</v>
      </c>
      <c r="C237" s="1914"/>
      <c r="D237" s="461">
        <v>0</v>
      </c>
      <c r="E237" s="1914"/>
      <c r="F237" s="1914"/>
      <c r="G237" s="1914"/>
      <c r="H237" s="1914"/>
      <c r="I237" s="1914"/>
      <c r="J237" s="1914"/>
      <c r="K237" s="1913">
        <f t="shared" si="21"/>
        <v>0</v>
      </c>
      <c r="L237" s="461">
        <v>0</v>
      </c>
    </row>
    <row r="238" spans="1:12" ht="12.75" customHeight="1" thickBot="1" x14ac:dyDescent="0.25">
      <c r="A238" s="1583" t="s">
        <v>580</v>
      </c>
      <c r="B238" s="1586" t="s">
        <v>739</v>
      </c>
      <c r="C238" s="1914"/>
      <c r="D238" s="1915">
        <f>SUM(D232:D237)</f>
        <v>221451</v>
      </c>
      <c r="E238" s="1914"/>
      <c r="F238" s="1914"/>
      <c r="G238" s="1914"/>
      <c r="H238" s="1914"/>
      <c r="I238" s="1914"/>
      <c r="J238" s="1914"/>
      <c r="K238" s="1915">
        <f>SUM(K232:K237)</f>
        <v>221451</v>
      </c>
      <c r="L238" s="1915">
        <f>SUM(L232:L237)</f>
        <v>217750</v>
      </c>
    </row>
    <row r="239" spans="1:12" ht="15.75" customHeight="1" thickTop="1" x14ac:dyDescent="0.2">
      <c r="A239" s="557" t="s">
        <v>612</v>
      </c>
      <c r="B239" s="562"/>
      <c r="C239" s="1914"/>
      <c r="D239" s="1918"/>
      <c r="E239" s="1914"/>
      <c r="F239" s="1914"/>
      <c r="G239" s="1914"/>
      <c r="H239" s="1914"/>
      <c r="I239" s="1914"/>
      <c r="J239" s="1914"/>
      <c r="K239" s="1918"/>
      <c r="L239" s="1918"/>
    </row>
    <row r="240" spans="1:12" x14ac:dyDescent="0.2">
      <c r="A240" s="1431" t="s">
        <v>867</v>
      </c>
      <c r="B240" s="551">
        <v>2210</v>
      </c>
      <c r="C240" s="1914"/>
      <c r="D240" s="1833">
        <v>141139</v>
      </c>
      <c r="E240" s="1914"/>
      <c r="F240" s="1914"/>
      <c r="G240" s="1914"/>
      <c r="H240" s="1914"/>
      <c r="I240" s="1914"/>
      <c r="J240" s="1914"/>
      <c r="K240" s="1919">
        <f>D240</f>
        <v>141139</v>
      </c>
      <c r="L240" s="1833">
        <v>140364</v>
      </c>
    </row>
    <row r="241" spans="1:12" x14ac:dyDescent="0.2">
      <c r="A241" s="1431" t="s">
        <v>868</v>
      </c>
      <c r="B241" s="551">
        <v>2220</v>
      </c>
      <c r="C241" s="1914"/>
      <c r="D241" s="461">
        <v>54982</v>
      </c>
      <c r="E241" s="1914"/>
      <c r="F241" s="1914"/>
      <c r="G241" s="1914"/>
      <c r="H241" s="1914"/>
      <c r="I241" s="1914"/>
      <c r="J241" s="1914"/>
      <c r="K241" s="1919">
        <f>D241</f>
        <v>54982</v>
      </c>
      <c r="L241" s="461">
        <v>55303</v>
      </c>
    </row>
    <row r="242" spans="1:12" x14ac:dyDescent="0.2">
      <c r="A242" s="1431" t="s">
        <v>869</v>
      </c>
      <c r="B242" s="551">
        <v>2230</v>
      </c>
      <c r="C242" s="1914"/>
      <c r="D242" s="461">
        <v>12234</v>
      </c>
      <c r="E242" s="1914"/>
      <c r="F242" s="1914"/>
      <c r="G242" s="1914"/>
      <c r="H242" s="1914"/>
      <c r="I242" s="1914"/>
      <c r="J242" s="1914"/>
      <c r="K242" s="1919">
        <f>D242</f>
        <v>12234</v>
      </c>
      <c r="L242" s="461">
        <v>12233</v>
      </c>
    </row>
    <row r="243" spans="1:12" ht="12.75" customHeight="1" thickBot="1" x14ac:dyDescent="0.25">
      <c r="A243" s="1600" t="s">
        <v>581</v>
      </c>
      <c r="B243" s="1601">
        <v>2200</v>
      </c>
      <c r="C243" s="1914"/>
      <c r="D243" s="1915">
        <f>SUM(D240:D242)</f>
        <v>208355</v>
      </c>
      <c r="E243" s="1914"/>
      <c r="F243" s="1914"/>
      <c r="G243" s="1914"/>
      <c r="H243" s="1914"/>
      <c r="I243" s="1914"/>
      <c r="J243" s="1914"/>
      <c r="K243" s="1915">
        <f>SUM(K240:K242)</f>
        <v>208355</v>
      </c>
      <c r="L243" s="1915">
        <f>SUM(L240:L242)</f>
        <v>207900</v>
      </c>
    </row>
    <row r="244" spans="1:12" ht="15.75" customHeight="1" thickTop="1" x14ac:dyDescent="0.2">
      <c r="A244" s="557" t="s">
        <v>630</v>
      </c>
      <c r="B244" s="604"/>
      <c r="C244" s="1914"/>
      <c r="D244" s="1918"/>
      <c r="E244" s="1914"/>
      <c r="F244" s="1914"/>
      <c r="G244" s="1914"/>
      <c r="H244" s="1914"/>
      <c r="I244" s="1914"/>
      <c r="J244" s="1914"/>
      <c r="K244" s="1918"/>
      <c r="L244" s="1918"/>
    </row>
    <row r="245" spans="1:12" x14ac:dyDescent="0.2">
      <c r="A245" s="1431" t="s">
        <v>870</v>
      </c>
      <c r="B245" s="551">
        <v>2310</v>
      </c>
      <c r="C245" s="1914"/>
      <c r="D245" s="1833">
        <v>601</v>
      </c>
      <c r="E245" s="1914"/>
      <c r="F245" s="1914"/>
      <c r="G245" s="1914"/>
      <c r="H245" s="1914"/>
      <c r="I245" s="1914"/>
      <c r="J245" s="1914"/>
      <c r="K245" s="1919">
        <f>D245</f>
        <v>601</v>
      </c>
      <c r="L245" s="1833">
        <v>601</v>
      </c>
    </row>
    <row r="246" spans="1:12" x14ac:dyDescent="0.2">
      <c r="A246" s="1431" t="s">
        <v>871</v>
      </c>
      <c r="B246" s="551">
        <v>2320</v>
      </c>
      <c r="C246" s="1914"/>
      <c r="D246" s="461">
        <v>3051</v>
      </c>
      <c r="E246" s="1914"/>
      <c r="F246" s="1914"/>
      <c r="G246" s="1914"/>
      <c r="H246" s="1914"/>
      <c r="I246" s="1914"/>
      <c r="J246" s="1914"/>
      <c r="K246" s="1919">
        <f t="shared" ref="K246:K256" si="22">D246</f>
        <v>3051</v>
      </c>
      <c r="L246" s="461">
        <v>3033</v>
      </c>
    </row>
    <row r="247" spans="1:12" x14ac:dyDescent="0.2">
      <c r="A247" s="1431" t="s">
        <v>872</v>
      </c>
      <c r="B247" s="551">
        <v>2330</v>
      </c>
      <c r="C247" s="1914"/>
      <c r="D247" s="461">
        <v>15876</v>
      </c>
      <c r="E247" s="1914"/>
      <c r="F247" s="1914"/>
      <c r="G247" s="1914"/>
      <c r="H247" s="1914"/>
      <c r="I247" s="1914"/>
      <c r="J247" s="1914"/>
      <c r="K247" s="1919">
        <f t="shared" si="22"/>
        <v>15876</v>
      </c>
      <c r="L247" s="461">
        <v>16686</v>
      </c>
    </row>
    <row r="248" spans="1:12" x14ac:dyDescent="0.2">
      <c r="A248" s="1432" t="s">
        <v>316</v>
      </c>
      <c r="B248" s="539" t="s">
        <v>298</v>
      </c>
      <c r="C248" s="1914"/>
      <c r="D248" s="1828">
        <v>0</v>
      </c>
      <c r="E248" s="1914"/>
      <c r="F248" s="1914"/>
      <c r="G248" s="1914"/>
      <c r="H248" s="1914"/>
      <c r="I248" s="1914"/>
      <c r="J248" s="1914"/>
      <c r="K248" s="1919">
        <f t="shared" si="22"/>
        <v>0</v>
      </c>
      <c r="L248" s="461">
        <v>0</v>
      </c>
    </row>
    <row r="249" spans="1:12" x14ac:dyDescent="0.2">
      <c r="A249" s="1433" t="s">
        <v>1904</v>
      </c>
      <c r="B249" s="605" t="s">
        <v>299</v>
      </c>
      <c r="C249" s="1914"/>
      <c r="D249" s="1828">
        <v>0</v>
      </c>
      <c r="E249" s="1914"/>
      <c r="F249" s="1914"/>
      <c r="G249" s="1914"/>
      <c r="H249" s="1914"/>
      <c r="I249" s="1914"/>
      <c r="J249" s="1914"/>
      <c r="K249" s="1919">
        <f t="shared" si="22"/>
        <v>0</v>
      </c>
      <c r="L249" s="461">
        <v>0</v>
      </c>
    </row>
    <row r="250" spans="1:12" x14ac:dyDescent="0.2">
      <c r="A250" s="1432" t="s">
        <v>1905</v>
      </c>
      <c r="B250" s="539" t="s">
        <v>300</v>
      </c>
      <c r="C250" s="1914"/>
      <c r="D250" s="1828">
        <v>0</v>
      </c>
      <c r="E250" s="1914"/>
      <c r="F250" s="1914"/>
      <c r="G250" s="1914"/>
      <c r="H250" s="1914"/>
      <c r="I250" s="1914"/>
      <c r="J250" s="1914"/>
      <c r="K250" s="1919">
        <f t="shared" si="22"/>
        <v>0</v>
      </c>
      <c r="L250" s="461">
        <v>0</v>
      </c>
    </row>
    <row r="251" spans="1:12" x14ac:dyDescent="0.2">
      <c r="A251" s="1432" t="s">
        <v>256</v>
      </c>
      <c r="B251" s="539" t="s">
        <v>301</v>
      </c>
      <c r="C251" s="1914"/>
      <c r="D251" s="1828">
        <v>0</v>
      </c>
      <c r="E251" s="1914"/>
      <c r="F251" s="1914"/>
      <c r="G251" s="1914"/>
      <c r="H251" s="1914"/>
      <c r="I251" s="1914"/>
      <c r="J251" s="1914"/>
      <c r="K251" s="1919">
        <f t="shared" si="22"/>
        <v>0</v>
      </c>
      <c r="L251" s="461">
        <v>0</v>
      </c>
    </row>
    <row r="252" spans="1:12" x14ac:dyDescent="0.2">
      <c r="A252" s="1432" t="s">
        <v>725</v>
      </c>
      <c r="B252" s="539" t="s">
        <v>302</v>
      </c>
      <c r="C252" s="1914"/>
      <c r="D252" s="1828">
        <v>0</v>
      </c>
      <c r="E252" s="1914"/>
      <c r="F252" s="1914"/>
      <c r="G252" s="1914"/>
      <c r="H252" s="1914"/>
      <c r="I252" s="1914"/>
      <c r="J252" s="1914"/>
      <c r="K252" s="1919">
        <f t="shared" si="22"/>
        <v>0</v>
      </c>
      <c r="L252" s="461">
        <v>0</v>
      </c>
    </row>
    <row r="253" spans="1:12" x14ac:dyDescent="0.2">
      <c r="A253" s="1432" t="s">
        <v>257</v>
      </c>
      <c r="B253" s="539" t="s">
        <v>303</v>
      </c>
      <c r="C253" s="1914"/>
      <c r="D253" s="1828">
        <v>0</v>
      </c>
      <c r="E253" s="1914"/>
      <c r="F253" s="1914"/>
      <c r="G253" s="1914"/>
      <c r="H253" s="1914"/>
      <c r="I253" s="1914"/>
      <c r="J253" s="1914"/>
      <c r="K253" s="1919">
        <f t="shared" si="22"/>
        <v>0</v>
      </c>
      <c r="L253" s="461">
        <v>0</v>
      </c>
    </row>
    <row r="254" spans="1:12" ht="22.5" x14ac:dyDescent="0.2">
      <c r="A254" s="1432" t="s">
        <v>1086</v>
      </c>
      <c r="B254" s="605" t="s">
        <v>304</v>
      </c>
      <c r="C254" s="1914"/>
      <c r="D254" s="1828">
        <v>0</v>
      </c>
      <c r="E254" s="1914"/>
      <c r="F254" s="1914"/>
      <c r="G254" s="1914"/>
      <c r="H254" s="1914"/>
      <c r="I254" s="1914"/>
      <c r="J254" s="1914"/>
      <c r="K254" s="1919">
        <f t="shared" si="22"/>
        <v>0</v>
      </c>
      <c r="L254" s="461">
        <v>0</v>
      </c>
    </row>
    <row r="255" spans="1:12" x14ac:dyDescent="0.2">
      <c r="A255" s="1432" t="s">
        <v>1087</v>
      </c>
      <c r="B255" s="539" t="s">
        <v>305</v>
      </c>
      <c r="C255" s="1914"/>
      <c r="D255" s="1828">
        <v>0</v>
      </c>
      <c r="E255" s="1914"/>
      <c r="F255" s="1914"/>
      <c r="G255" s="1914"/>
      <c r="H255" s="1914"/>
      <c r="I255" s="1914"/>
      <c r="J255" s="1914"/>
      <c r="K255" s="1919">
        <f t="shared" si="22"/>
        <v>0</v>
      </c>
      <c r="L255" s="461">
        <v>0</v>
      </c>
    </row>
    <row r="256" spans="1:12" x14ac:dyDescent="0.2">
      <c r="A256" s="1432" t="s">
        <v>1027</v>
      </c>
      <c r="B256" s="551" t="s">
        <v>306</v>
      </c>
      <c r="C256" s="1914"/>
      <c r="D256" s="1828">
        <v>0</v>
      </c>
      <c r="E256" s="1914"/>
      <c r="F256" s="1914"/>
      <c r="G256" s="1914"/>
      <c r="H256" s="1914"/>
      <c r="I256" s="1914"/>
      <c r="J256" s="1914"/>
      <c r="K256" s="1919">
        <f t="shared" si="22"/>
        <v>0</v>
      </c>
      <c r="L256" s="461">
        <v>0</v>
      </c>
    </row>
    <row r="257" spans="1:14" ht="12.75" customHeight="1" thickBot="1" x14ac:dyDescent="0.25">
      <c r="A257" s="1583" t="s">
        <v>740</v>
      </c>
      <c r="B257" s="1602">
        <v>2300</v>
      </c>
      <c r="C257" s="1914"/>
      <c r="D257" s="1915">
        <f>SUM(D245:D256)</f>
        <v>19528</v>
      </c>
      <c r="E257" s="1914"/>
      <c r="F257" s="1914"/>
      <c r="G257" s="1914"/>
      <c r="H257" s="1914"/>
      <c r="I257" s="1914"/>
      <c r="J257" s="1914"/>
      <c r="K257" s="1915">
        <f>SUM(K245:K256)</f>
        <v>19528</v>
      </c>
      <c r="L257" s="1915">
        <f>SUM(L245:L256)</f>
        <v>20320</v>
      </c>
    </row>
    <row r="258" spans="1:14" ht="15.75" customHeight="1" thickTop="1" x14ac:dyDescent="0.2">
      <c r="A258" s="557" t="s">
        <v>631</v>
      </c>
      <c r="B258" s="606"/>
      <c r="C258" s="1914"/>
      <c r="D258" s="1918"/>
      <c r="E258" s="1914"/>
      <c r="F258" s="1914"/>
      <c r="G258" s="1914"/>
      <c r="H258" s="1914"/>
      <c r="I258" s="1914"/>
      <c r="J258" s="1914"/>
      <c r="K258" s="1918"/>
      <c r="L258" s="1918"/>
    </row>
    <row r="259" spans="1:14" x14ac:dyDescent="0.2">
      <c r="A259" s="1431" t="s">
        <v>1126</v>
      </c>
      <c r="B259" s="607">
        <v>2410</v>
      </c>
      <c r="C259" s="1914"/>
      <c r="D259" s="1833">
        <v>397981</v>
      </c>
      <c r="E259" s="1914"/>
      <c r="F259" s="1914"/>
      <c r="G259" s="1914"/>
      <c r="H259" s="1914"/>
      <c r="I259" s="1914"/>
      <c r="J259" s="1914"/>
      <c r="K259" s="1919">
        <f>D259</f>
        <v>397981</v>
      </c>
      <c r="L259" s="1833">
        <v>413203</v>
      </c>
    </row>
    <row r="260" spans="1:14" s="538" customFormat="1" x14ac:dyDescent="0.2">
      <c r="A260" s="1449" t="s">
        <v>1903</v>
      </c>
      <c r="B260" s="560">
        <v>2490</v>
      </c>
      <c r="C260" s="1914"/>
      <c r="D260" s="461">
        <v>0</v>
      </c>
      <c r="E260" s="1914"/>
      <c r="F260" s="1914"/>
      <c r="G260" s="1914"/>
      <c r="H260" s="1914"/>
      <c r="I260" s="1914"/>
      <c r="J260" s="1914"/>
      <c r="K260" s="1919">
        <f>D260</f>
        <v>0</v>
      </c>
      <c r="L260" s="461">
        <v>0</v>
      </c>
      <c r="M260" s="206"/>
      <c r="N260" s="206"/>
    </row>
    <row r="261" spans="1:14" ht="12.75" customHeight="1" thickBot="1" x14ac:dyDescent="0.25">
      <c r="A261" s="1598" t="s">
        <v>281</v>
      </c>
      <c r="B261" s="1603" t="s">
        <v>34</v>
      </c>
      <c r="C261" s="1914"/>
      <c r="D261" s="1915">
        <f>SUM(D259:D260)</f>
        <v>397981</v>
      </c>
      <c r="E261" s="1914"/>
      <c r="F261" s="1914"/>
      <c r="G261" s="1914"/>
      <c r="H261" s="1914"/>
      <c r="I261" s="1914"/>
      <c r="J261" s="1914"/>
      <c r="K261" s="1915">
        <f>SUM(K259:K260)</f>
        <v>397981</v>
      </c>
      <c r="L261" s="1915">
        <f>SUM(L259:L260)</f>
        <v>413203</v>
      </c>
    </row>
    <row r="262" spans="1:14" ht="15.75" customHeight="1" thickTop="1" x14ac:dyDescent="0.2">
      <c r="A262" s="557" t="s">
        <v>632</v>
      </c>
      <c r="B262" s="606"/>
      <c r="C262" s="1914"/>
      <c r="D262" s="1914"/>
      <c r="E262" s="1914"/>
      <c r="F262" s="1914"/>
      <c r="G262" s="1914"/>
      <c r="H262" s="1914"/>
      <c r="I262" s="1914"/>
      <c r="J262" s="1914"/>
      <c r="K262" s="1918"/>
      <c r="L262" s="1918"/>
    </row>
    <row r="263" spans="1:14" x14ac:dyDescent="0.2">
      <c r="A263" s="1431" t="s">
        <v>1127</v>
      </c>
      <c r="B263" s="607">
        <v>2510</v>
      </c>
      <c r="C263" s="1914"/>
      <c r="D263" s="461">
        <v>23431</v>
      </c>
      <c r="E263" s="1914"/>
      <c r="F263" s="1914"/>
      <c r="G263" s="1914"/>
      <c r="H263" s="1914"/>
      <c r="I263" s="1914"/>
      <c r="J263" s="1914"/>
      <c r="K263" s="1919">
        <f>D263</f>
        <v>23431</v>
      </c>
      <c r="L263" s="1833">
        <v>23430</v>
      </c>
    </row>
    <row r="264" spans="1:14" x14ac:dyDescent="0.2">
      <c r="A264" s="1431" t="s">
        <v>482</v>
      </c>
      <c r="B264" s="607">
        <v>2520</v>
      </c>
      <c r="C264" s="1914"/>
      <c r="D264" s="461">
        <v>71801</v>
      </c>
      <c r="E264" s="1914"/>
      <c r="F264" s="1914"/>
      <c r="G264" s="1914"/>
      <c r="H264" s="1914"/>
      <c r="I264" s="1914"/>
      <c r="J264" s="1914"/>
      <c r="K264" s="1919">
        <f t="shared" ref="K264:K269" si="23">D264</f>
        <v>71801</v>
      </c>
      <c r="L264" s="461">
        <v>77912</v>
      </c>
    </row>
    <row r="265" spans="1:14" x14ac:dyDescent="0.2">
      <c r="A265" s="1431" t="s">
        <v>4</v>
      </c>
      <c r="B265" s="551">
        <v>2530</v>
      </c>
      <c r="C265" s="1914"/>
      <c r="D265" s="461">
        <v>35354</v>
      </c>
      <c r="E265" s="1914"/>
      <c r="F265" s="1914"/>
      <c r="G265" s="1914"/>
      <c r="H265" s="1914"/>
      <c r="I265" s="1914"/>
      <c r="J265" s="1914"/>
      <c r="K265" s="1919">
        <f t="shared" si="23"/>
        <v>35354</v>
      </c>
      <c r="L265" s="461">
        <v>35355</v>
      </c>
    </row>
    <row r="266" spans="1:14" x14ac:dyDescent="0.2">
      <c r="A266" s="1431" t="s">
        <v>206</v>
      </c>
      <c r="B266" s="551">
        <v>2540</v>
      </c>
      <c r="C266" s="1914"/>
      <c r="D266" s="461">
        <v>722510</v>
      </c>
      <c r="E266" s="1914"/>
      <c r="F266" s="1914"/>
      <c r="G266" s="1914"/>
      <c r="H266" s="1914"/>
      <c r="I266" s="1914"/>
      <c r="J266" s="1914"/>
      <c r="K266" s="1919">
        <f t="shared" si="23"/>
        <v>722510</v>
      </c>
      <c r="L266" s="461">
        <v>707167</v>
      </c>
    </row>
    <row r="267" spans="1:14" x14ac:dyDescent="0.2">
      <c r="A267" s="1431" t="s">
        <v>1009</v>
      </c>
      <c r="B267" s="551">
        <v>2550</v>
      </c>
      <c r="C267" s="1914"/>
      <c r="D267" s="461">
        <v>599180</v>
      </c>
      <c r="E267" s="1914"/>
      <c r="F267" s="1914"/>
      <c r="G267" s="1914"/>
      <c r="H267" s="1914"/>
      <c r="I267" s="1914"/>
      <c r="J267" s="1914"/>
      <c r="K267" s="1919">
        <f t="shared" si="23"/>
        <v>599180</v>
      </c>
      <c r="L267" s="461">
        <v>580311</v>
      </c>
    </row>
    <row r="268" spans="1:14" x14ac:dyDescent="0.2">
      <c r="A268" s="1431" t="s">
        <v>102</v>
      </c>
      <c r="B268" s="551">
        <v>2560</v>
      </c>
      <c r="C268" s="1914"/>
      <c r="D268" s="461">
        <v>237746</v>
      </c>
      <c r="E268" s="1914"/>
      <c r="F268" s="1914"/>
      <c r="G268" s="1914"/>
      <c r="H268" s="1914"/>
      <c r="I268" s="1914"/>
      <c r="J268" s="1914"/>
      <c r="K268" s="1919">
        <f t="shared" si="23"/>
        <v>237746</v>
      </c>
      <c r="L268" s="461">
        <v>235648</v>
      </c>
    </row>
    <row r="269" spans="1:14" x14ac:dyDescent="0.2">
      <c r="A269" s="1431" t="s">
        <v>103</v>
      </c>
      <c r="B269" s="551">
        <v>2570</v>
      </c>
      <c r="C269" s="1914"/>
      <c r="D269" s="461">
        <v>39325</v>
      </c>
      <c r="E269" s="1914"/>
      <c r="F269" s="1914"/>
      <c r="G269" s="1914"/>
      <c r="H269" s="1914"/>
      <c r="I269" s="1914"/>
      <c r="J269" s="1914"/>
      <c r="K269" s="1919">
        <f t="shared" si="23"/>
        <v>39325</v>
      </c>
      <c r="L269" s="461">
        <v>38190</v>
      </c>
    </row>
    <row r="270" spans="1:14" ht="12.75" customHeight="1" thickBot="1" x14ac:dyDescent="0.25">
      <c r="A270" s="1583" t="s">
        <v>742</v>
      </c>
      <c r="B270" s="1586" t="s">
        <v>35</v>
      </c>
      <c r="C270" s="1914"/>
      <c r="D270" s="1915">
        <f>SUM(D263:D269)</f>
        <v>1729347</v>
      </c>
      <c r="E270" s="1914"/>
      <c r="F270" s="1914"/>
      <c r="G270" s="1914"/>
      <c r="H270" s="1914"/>
      <c r="I270" s="1914"/>
      <c r="J270" s="1914"/>
      <c r="K270" s="1915">
        <f>SUM(K263:K269)</f>
        <v>1729347</v>
      </c>
      <c r="L270" s="1915">
        <f>SUM(L263:L269)</f>
        <v>1698013</v>
      </c>
    </row>
    <row r="271" spans="1:14" ht="15.75" customHeight="1" thickTop="1" x14ac:dyDescent="0.2">
      <c r="A271" s="591" t="s">
        <v>633</v>
      </c>
      <c r="B271" s="558"/>
      <c r="C271" s="1914"/>
      <c r="D271" s="1918"/>
      <c r="E271" s="1914"/>
      <c r="F271" s="1914"/>
      <c r="G271" s="1914"/>
      <c r="H271" s="1914"/>
      <c r="I271" s="1914"/>
      <c r="J271" s="1914"/>
      <c r="K271" s="1918"/>
      <c r="L271" s="1918"/>
    </row>
    <row r="272" spans="1:14" x14ac:dyDescent="0.2">
      <c r="A272" s="1431" t="s">
        <v>1119</v>
      </c>
      <c r="B272" s="551">
        <v>2610</v>
      </c>
      <c r="C272" s="1914"/>
      <c r="D272" s="1833">
        <v>0</v>
      </c>
      <c r="E272" s="1914"/>
      <c r="F272" s="1914"/>
      <c r="G272" s="1914"/>
      <c r="H272" s="1914"/>
      <c r="I272" s="1914"/>
      <c r="J272" s="1914"/>
      <c r="K272" s="1919">
        <f>D272</f>
        <v>0</v>
      </c>
      <c r="L272" s="1833">
        <v>0</v>
      </c>
    </row>
    <row r="273" spans="1:12" x14ac:dyDescent="0.2">
      <c r="A273" s="1431" t="s">
        <v>627</v>
      </c>
      <c r="B273" s="560">
        <v>2620</v>
      </c>
      <c r="C273" s="1914"/>
      <c r="D273" s="461">
        <v>0</v>
      </c>
      <c r="E273" s="1914"/>
      <c r="F273" s="1914"/>
      <c r="G273" s="1914"/>
      <c r="H273" s="1914"/>
      <c r="I273" s="1914"/>
      <c r="J273" s="1914"/>
      <c r="K273" s="1919">
        <f>D273</f>
        <v>0</v>
      </c>
      <c r="L273" s="461">
        <v>0</v>
      </c>
    </row>
    <row r="274" spans="1:12" ht="12" customHeight="1" x14ac:dyDescent="0.2">
      <c r="A274" s="1431" t="s">
        <v>1120</v>
      </c>
      <c r="B274" s="551">
        <v>2630</v>
      </c>
      <c r="C274" s="1914"/>
      <c r="D274" s="461">
        <v>54775</v>
      </c>
      <c r="E274" s="1914"/>
      <c r="F274" s="1914"/>
      <c r="G274" s="1914"/>
      <c r="H274" s="1914"/>
      <c r="I274" s="1914"/>
      <c r="J274" s="1914"/>
      <c r="K274" s="1919">
        <f>D274</f>
        <v>54775</v>
      </c>
      <c r="L274" s="461">
        <v>59238</v>
      </c>
    </row>
    <row r="275" spans="1:12" x14ac:dyDescent="0.2">
      <c r="A275" s="1431" t="s">
        <v>422</v>
      </c>
      <c r="B275" s="551">
        <v>2640</v>
      </c>
      <c r="C275" s="1914"/>
      <c r="D275" s="461">
        <v>50563</v>
      </c>
      <c r="E275" s="1914"/>
      <c r="F275" s="1914"/>
      <c r="G275" s="1914"/>
      <c r="H275" s="1914"/>
      <c r="I275" s="1914"/>
      <c r="J275" s="1914"/>
      <c r="K275" s="1919">
        <f>D275</f>
        <v>50563</v>
      </c>
      <c r="L275" s="461">
        <v>51696</v>
      </c>
    </row>
    <row r="276" spans="1:12" x14ac:dyDescent="0.2">
      <c r="A276" s="1431" t="s">
        <v>423</v>
      </c>
      <c r="B276" s="551">
        <v>2660</v>
      </c>
      <c r="C276" s="1914"/>
      <c r="D276" s="461">
        <v>122939</v>
      </c>
      <c r="E276" s="1914"/>
      <c r="F276" s="1914"/>
      <c r="G276" s="1914"/>
      <c r="H276" s="1914"/>
      <c r="I276" s="1914"/>
      <c r="J276" s="1914"/>
      <c r="K276" s="1919">
        <f>D276</f>
        <v>122939</v>
      </c>
      <c r="L276" s="461">
        <v>122312</v>
      </c>
    </row>
    <row r="277" spans="1:12" ht="12.75" customHeight="1" thickBot="1" x14ac:dyDescent="0.25">
      <c r="A277" s="1597" t="s">
        <v>37</v>
      </c>
      <c r="B277" s="1584" t="s">
        <v>36</v>
      </c>
      <c r="C277" s="1914"/>
      <c r="D277" s="1915">
        <f>SUM(D272:D276)</f>
        <v>228277</v>
      </c>
      <c r="E277" s="1914"/>
      <c r="F277" s="1914"/>
      <c r="G277" s="1914"/>
      <c r="H277" s="1914"/>
      <c r="I277" s="1914"/>
      <c r="J277" s="1914"/>
      <c r="K277" s="1915">
        <f>SUM(K272:K276)</f>
        <v>228277</v>
      </c>
      <c r="L277" s="1915">
        <f>SUM(L272:L276)</f>
        <v>233246</v>
      </c>
    </row>
    <row r="278" spans="1:12" ht="13.5" customHeight="1" thickTop="1" x14ac:dyDescent="0.2">
      <c r="A278" s="1437" t="s">
        <v>1036</v>
      </c>
      <c r="B278" s="579" t="s">
        <v>594</v>
      </c>
      <c r="C278" s="1914"/>
      <c r="D278" s="1880">
        <v>11623</v>
      </c>
      <c r="E278" s="1914"/>
      <c r="F278" s="1914"/>
      <c r="G278" s="1914"/>
      <c r="H278" s="1914"/>
      <c r="I278" s="1914"/>
      <c r="J278" s="1914"/>
      <c r="K278" s="1937">
        <f>D278</f>
        <v>11623</v>
      </c>
      <c r="L278" s="1880">
        <v>11489</v>
      </c>
    </row>
    <row r="279" spans="1:12" ht="12.75" customHeight="1" thickBot="1" x14ac:dyDescent="0.25">
      <c r="A279" s="1604" t="s">
        <v>864</v>
      </c>
      <c r="B279" s="1590">
        <v>2000</v>
      </c>
      <c r="C279" s="1914"/>
      <c r="D279" s="1922">
        <f>SUM(D238,D243,D257,D261,D270,D277,D278)</f>
        <v>2816562</v>
      </c>
      <c r="E279" s="1914"/>
      <c r="F279" s="1914"/>
      <c r="G279" s="1914"/>
      <c r="H279" s="1914"/>
      <c r="I279" s="1914"/>
      <c r="J279" s="1914"/>
      <c r="K279" s="1922">
        <f>SUM(K238,K243,K257,K261,K270,K277,K278)</f>
        <v>2816562</v>
      </c>
      <c r="L279" s="1922">
        <f>SUM(L238,L243,L257,L261,L270,L277,L278)</f>
        <v>2801921</v>
      </c>
    </row>
    <row r="280" spans="1:12" ht="15.75" customHeight="1" thickTop="1" thickBot="1" x14ac:dyDescent="0.25">
      <c r="A280" s="1542" t="s">
        <v>929</v>
      </c>
      <c r="B280" s="1531">
        <v>3000</v>
      </c>
      <c r="C280" s="1914"/>
      <c r="D280" s="1875">
        <v>159797</v>
      </c>
      <c r="E280" s="1914"/>
      <c r="F280" s="1914"/>
      <c r="G280" s="1914"/>
      <c r="H280" s="1914"/>
      <c r="I280" s="1914"/>
      <c r="J280" s="1914"/>
      <c r="K280" s="1939">
        <f>D280</f>
        <v>159797</v>
      </c>
      <c r="L280" s="1875">
        <v>159612</v>
      </c>
    </row>
    <row r="281" spans="1:12" ht="15.75" customHeight="1" thickTop="1" x14ac:dyDescent="0.2">
      <c r="A281" s="1532" t="s">
        <v>144</v>
      </c>
      <c r="B281" s="1533" t="s">
        <v>914</v>
      </c>
      <c r="C281" s="1914"/>
      <c r="D281" s="1918"/>
      <c r="E281" s="1914"/>
      <c r="F281" s="1914"/>
      <c r="G281" s="1914"/>
      <c r="H281" s="1914"/>
      <c r="I281" s="1914"/>
      <c r="J281" s="1914"/>
      <c r="K281" s="1918"/>
      <c r="L281" s="1918"/>
    </row>
    <row r="282" spans="1:12" ht="15.75" customHeight="1" x14ac:dyDescent="0.2">
      <c r="A282" s="1718" t="s">
        <v>516</v>
      </c>
      <c r="B282" s="610" t="s">
        <v>1953</v>
      </c>
      <c r="C282" s="1914"/>
      <c r="D282" s="462">
        <v>0</v>
      </c>
      <c r="E282" s="1914"/>
      <c r="F282" s="1914"/>
      <c r="G282" s="1914"/>
      <c r="H282" s="1914"/>
      <c r="I282" s="1914"/>
      <c r="J282" s="1914"/>
      <c r="K282" s="1913">
        <f>D282</f>
        <v>0</v>
      </c>
      <c r="L282" s="462">
        <v>0</v>
      </c>
    </row>
    <row r="283" spans="1:12" x14ac:dyDescent="0.2">
      <c r="A283" s="1431" t="s">
        <v>321</v>
      </c>
      <c r="B283" s="551">
        <v>4120</v>
      </c>
      <c r="C283" s="1914"/>
      <c r="D283" s="461">
        <v>0</v>
      </c>
      <c r="E283" s="1914"/>
      <c r="F283" s="1914"/>
      <c r="G283" s="1914"/>
      <c r="H283" s="1914"/>
      <c r="I283" s="1914"/>
      <c r="J283" s="1914"/>
      <c r="K283" s="1913">
        <f>D283</f>
        <v>0</v>
      </c>
      <c r="L283" s="461">
        <v>0</v>
      </c>
    </row>
    <row r="284" spans="1:12" x14ac:dyDescent="0.2">
      <c r="A284" s="1431" t="s">
        <v>720</v>
      </c>
      <c r="B284" s="551">
        <v>4140</v>
      </c>
      <c r="C284" s="1914"/>
      <c r="D284" s="461">
        <v>0</v>
      </c>
      <c r="E284" s="1914"/>
      <c r="F284" s="1914"/>
      <c r="G284" s="1914"/>
      <c r="H284" s="1914"/>
      <c r="I284" s="1914"/>
      <c r="J284" s="1914"/>
      <c r="K284" s="1913">
        <f>D284</f>
        <v>0</v>
      </c>
      <c r="L284" s="461">
        <v>0</v>
      </c>
    </row>
    <row r="285" spans="1:12" ht="12.75" customHeight="1" thickBot="1" x14ac:dyDescent="0.25">
      <c r="A285" s="1583" t="s">
        <v>1566</v>
      </c>
      <c r="B285" s="1584" t="s">
        <v>914</v>
      </c>
      <c r="C285" s="1914"/>
      <c r="D285" s="1915">
        <f>SUM(D283:D284)</f>
        <v>0</v>
      </c>
      <c r="E285" s="1914"/>
      <c r="F285" s="1914"/>
      <c r="G285" s="1914"/>
      <c r="H285" s="1914"/>
      <c r="I285" s="1914"/>
      <c r="J285" s="1914"/>
      <c r="K285" s="1915">
        <f>SUM(K283:K284)</f>
        <v>0</v>
      </c>
      <c r="L285" s="1915">
        <f>SUM(L283:L284)</f>
        <v>0</v>
      </c>
    </row>
    <row r="286" spans="1:12" ht="15.75" customHeight="1" thickTop="1" x14ac:dyDescent="0.2">
      <c r="A286" s="1530" t="s">
        <v>930</v>
      </c>
      <c r="B286" s="1527" t="s">
        <v>512</v>
      </c>
      <c r="C286" s="1914"/>
      <c r="D286" s="1914"/>
      <c r="E286" s="1914"/>
      <c r="F286" s="1914"/>
      <c r="G286" s="1914"/>
      <c r="H286" s="1914"/>
      <c r="I286" s="1914"/>
      <c r="J286" s="1914"/>
      <c r="K286" s="1914"/>
      <c r="L286" s="1914"/>
    </row>
    <row r="287" spans="1:12" ht="15.75" customHeight="1" x14ac:dyDescent="0.2">
      <c r="A287" s="578" t="s">
        <v>95</v>
      </c>
      <c r="B287" s="556"/>
      <c r="C287" s="1914"/>
      <c r="D287" s="1914"/>
      <c r="E287" s="1914"/>
      <c r="F287" s="1914"/>
      <c r="G287" s="1914"/>
      <c r="H287" s="1917"/>
      <c r="I287" s="1914"/>
      <c r="J287" s="1914"/>
      <c r="K287" s="1914"/>
      <c r="L287" s="1914"/>
    </row>
    <row r="288" spans="1:12" x14ac:dyDescent="0.2">
      <c r="A288" s="1431" t="s">
        <v>89</v>
      </c>
      <c r="B288" s="551">
        <v>5110</v>
      </c>
      <c r="C288" s="1914"/>
      <c r="D288" s="1914"/>
      <c r="E288" s="1914"/>
      <c r="F288" s="1914"/>
      <c r="G288" s="1914"/>
      <c r="H288" s="461">
        <v>0</v>
      </c>
      <c r="I288" s="1914"/>
      <c r="J288" s="1914"/>
      <c r="K288" s="1913">
        <f>H288</f>
        <v>0</v>
      </c>
      <c r="L288" s="461">
        <v>0</v>
      </c>
    </row>
    <row r="289" spans="1:14" x14ac:dyDescent="0.2">
      <c r="A289" s="1431" t="s">
        <v>90</v>
      </c>
      <c r="B289" s="551">
        <v>5120</v>
      </c>
      <c r="C289" s="1914"/>
      <c r="D289" s="1914"/>
      <c r="E289" s="1914"/>
      <c r="F289" s="1914"/>
      <c r="G289" s="1914"/>
      <c r="H289" s="461">
        <v>0</v>
      </c>
      <c r="I289" s="1914"/>
      <c r="J289" s="1914"/>
      <c r="K289" s="1913">
        <f>H289</f>
        <v>0</v>
      </c>
      <c r="L289" s="461">
        <v>0</v>
      </c>
    </row>
    <row r="290" spans="1:14" ht="12.75" customHeight="1" x14ac:dyDescent="0.2">
      <c r="A290" s="1431" t="s">
        <v>1231</v>
      </c>
      <c r="B290" s="560" t="s">
        <v>637</v>
      </c>
      <c r="C290" s="1914"/>
      <c r="D290" s="1914"/>
      <c r="E290" s="1914"/>
      <c r="F290" s="1914"/>
      <c r="G290" s="1914"/>
      <c r="H290" s="461">
        <v>0</v>
      </c>
      <c r="I290" s="1914"/>
      <c r="J290" s="1914"/>
      <c r="K290" s="1913">
        <f>H290</f>
        <v>0</v>
      </c>
      <c r="L290" s="461">
        <v>0</v>
      </c>
    </row>
    <row r="291" spans="1:14" x14ac:dyDescent="0.2">
      <c r="A291" s="1431" t="s">
        <v>91</v>
      </c>
      <c r="B291" s="551" t="s">
        <v>609</v>
      </c>
      <c r="C291" s="1914"/>
      <c r="D291" s="1914"/>
      <c r="E291" s="1914"/>
      <c r="F291" s="1914"/>
      <c r="G291" s="1914"/>
      <c r="H291" s="461">
        <v>0</v>
      </c>
      <c r="I291" s="1914"/>
      <c r="J291" s="1914"/>
      <c r="K291" s="1913">
        <f>H291</f>
        <v>0</v>
      </c>
      <c r="L291" s="461">
        <v>0</v>
      </c>
    </row>
    <row r="292" spans="1:14" x14ac:dyDescent="0.2">
      <c r="A292" s="1431" t="s">
        <v>785</v>
      </c>
      <c r="B292" s="551" t="s">
        <v>638</v>
      </c>
      <c r="C292" s="1914"/>
      <c r="D292" s="1914"/>
      <c r="E292" s="1914"/>
      <c r="F292" s="1914"/>
      <c r="G292" s="1914"/>
      <c r="H292" s="461">
        <v>0</v>
      </c>
      <c r="I292" s="1914"/>
      <c r="J292" s="1914"/>
      <c r="K292" s="1913">
        <f>H292</f>
        <v>0</v>
      </c>
      <c r="L292" s="461">
        <v>0</v>
      </c>
    </row>
    <row r="293" spans="1:14" ht="12.75" customHeight="1" thickBot="1" x14ac:dyDescent="0.25">
      <c r="A293" s="1583" t="s">
        <v>504</v>
      </c>
      <c r="B293" s="1584" t="s">
        <v>512</v>
      </c>
      <c r="C293" s="1914"/>
      <c r="D293" s="1914"/>
      <c r="E293" s="1914"/>
      <c r="F293" s="1914"/>
      <c r="G293" s="1914"/>
      <c r="H293" s="1915">
        <f>SUM(H288:H292)</f>
        <v>0</v>
      </c>
      <c r="I293" s="1914"/>
      <c r="J293" s="1914"/>
      <c r="K293" s="1915">
        <f>SUM(K288:K292)</f>
        <v>0</v>
      </c>
      <c r="L293" s="1915">
        <f>SUM(L288:L292)</f>
        <v>0</v>
      </c>
    </row>
    <row r="294" spans="1:14" ht="15.75" customHeight="1" thickTop="1" thickBot="1" x14ac:dyDescent="0.25">
      <c r="A294" s="1543" t="s">
        <v>931</v>
      </c>
      <c r="B294" s="1531" t="s">
        <v>915</v>
      </c>
      <c r="C294" s="1914"/>
      <c r="D294" s="1917"/>
      <c r="E294" s="1914"/>
      <c r="F294" s="1914"/>
      <c r="G294" s="1914"/>
      <c r="H294" s="1917"/>
      <c r="I294" s="1914"/>
      <c r="J294" s="1914"/>
      <c r="K294" s="1917"/>
      <c r="L294" s="1876">
        <v>0</v>
      </c>
    </row>
    <row r="295" spans="1:14" ht="12.75" customHeight="1" thickTop="1" thickBot="1" x14ac:dyDescent="0.25">
      <c r="A295" s="2242" t="s">
        <v>525</v>
      </c>
      <c r="B295" s="2243"/>
      <c r="C295" s="1914"/>
      <c r="D295" s="1915">
        <f>SUM(D229,D279,D280,D285)</f>
        <v>4606647</v>
      </c>
      <c r="E295" s="1914"/>
      <c r="F295" s="1914"/>
      <c r="G295" s="1914"/>
      <c r="H295" s="1915">
        <f>H293</f>
        <v>0</v>
      </c>
      <c r="I295" s="1914"/>
      <c r="J295" s="1914"/>
      <c r="K295" s="1915">
        <f>SUM(K229,K279,K280,K285,K293,K294)</f>
        <v>4606647</v>
      </c>
      <c r="L295" s="1915">
        <f>SUM(L229,L279,L280,L285,L293,L294)</f>
        <v>4621391</v>
      </c>
    </row>
    <row r="296" spans="1:14" ht="13.5" thickTop="1" x14ac:dyDescent="0.2">
      <c r="A296" s="2251" t="s">
        <v>1052</v>
      </c>
      <c r="B296" s="2252"/>
      <c r="C296" s="1914"/>
      <c r="D296" s="1916"/>
      <c r="E296" s="1914"/>
      <c r="F296" s="1914"/>
      <c r="G296" s="1914"/>
      <c r="H296" s="1954"/>
      <c r="I296" s="1914"/>
      <c r="J296" s="1914"/>
      <c r="K296" s="1931">
        <f>'Revenues 9-14'!G275-'Expenditures 15-22'!K295</f>
        <v>-516395</v>
      </c>
      <c r="L296" s="1954"/>
    </row>
    <row r="297" spans="1:14" s="588" customFormat="1" ht="9" customHeight="1" x14ac:dyDescent="0.2">
      <c r="A297" s="585"/>
      <c r="B297" s="595"/>
      <c r="C297" s="1932"/>
      <c r="D297" s="1932"/>
      <c r="E297" s="1932"/>
      <c r="F297" s="1932"/>
      <c r="G297" s="1932"/>
      <c r="H297" s="1932"/>
      <c r="I297" s="1932"/>
      <c r="J297" s="1932"/>
      <c r="K297" s="1932"/>
      <c r="L297" s="1932"/>
      <c r="M297" s="587"/>
      <c r="N297" s="587"/>
    </row>
    <row r="298" spans="1:14" ht="16.7" customHeight="1" x14ac:dyDescent="0.2">
      <c r="A298" s="2234" t="s">
        <v>145</v>
      </c>
      <c r="B298" s="2228"/>
      <c r="C298" s="1933"/>
      <c r="D298" s="1934"/>
      <c r="E298" s="1934"/>
      <c r="F298" s="1934"/>
      <c r="G298" s="1934"/>
      <c r="H298" s="1934"/>
      <c r="I298" s="1934"/>
      <c r="J298" s="1934"/>
      <c r="K298" s="1934"/>
      <c r="L298" s="1935"/>
    </row>
    <row r="299" spans="1:14" ht="15.75" customHeight="1" x14ac:dyDescent="0.2">
      <c r="A299" s="1530" t="s">
        <v>146</v>
      </c>
      <c r="B299" s="1533" t="s">
        <v>589</v>
      </c>
      <c r="C299" s="1914"/>
      <c r="D299" s="1914"/>
      <c r="E299" s="1914"/>
      <c r="F299" s="1914"/>
      <c r="G299" s="1914"/>
      <c r="H299" s="1914"/>
      <c r="I299" s="1914"/>
      <c r="J299" s="1914"/>
      <c r="K299" s="1914"/>
      <c r="L299" s="1914"/>
    </row>
    <row r="300" spans="1:14" ht="15.75" customHeight="1" x14ac:dyDescent="0.2">
      <c r="A300" s="608" t="s">
        <v>632</v>
      </c>
      <c r="B300" s="562"/>
      <c r="C300" s="1917"/>
      <c r="D300" s="1917"/>
      <c r="E300" s="1917"/>
      <c r="F300" s="1917"/>
      <c r="G300" s="1917"/>
      <c r="H300" s="1917"/>
      <c r="I300" s="1914"/>
      <c r="J300" s="1914"/>
      <c r="K300" s="1917"/>
      <c r="L300" s="1917"/>
    </row>
    <row r="301" spans="1:14" x14ac:dyDescent="0.2">
      <c r="A301" s="1444" t="s">
        <v>628</v>
      </c>
      <c r="B301" s="609">
        <v>2530</v>
      </c>
      <c r="C301" s="461">
        <v>0</v>
      </c>
      <c r="D301" s="461">
        <v>0</v>
      </c>
      <c r="E301" s="461">
        <v>7019718</v>
      </c>
      <c r="F301" s="461">
        <v>19</v>
      </c>
      <c r="G301" s="461">
        <v>1174496</v>
      </c>
      <c r="H301" s="461">
        <v>0</v>
      </c>
      <c r="I301" s="461">
        <v>0</v>
      </c>
      <c r="J301" s="461">
        <v>0</v>
      </c>
      <c r="K301" s="1913">
        <f>SUM(C301:J301)</f>
        <v>8194233</v>
      </c>
      <c r="L301" s="461">
        <v>7089610</v>
      </c>
    </row>
    <row r="302" spans="1:14" ht="13.5" customHeight="1" x14ac:dyDescent="0.2">
      <c r="A302" s="1444" t="s">
        <v>1036</v>
      </c>
      <c r="B302" s="551" t="s">
        <v>594</v>
      </c>
      <c r="C302" s="461">
        <v>0</v>
      </c>
      <c r="D302" s="461">
        <v>0</v>
      </c>
      <c r="E302" s="461">
        <v>597526</v>
      </c>
      <c r="F302" s="461">
        <v>0</v>
      </c>
      <c r="G302" s="461">
        <v>0</v>
      </c>
      <c r="H302" s="461">
        <v>0</v>
      </c>
      <c r="I302" s="461">
        <v>0</v>
      </c>
      <c r="J302" s="461">
        <v>0</v>
      </c>
      <c r="K302" s="1913">
        <f>SUM(C302:J302)</f>
        <v>597526</v>
      </c>
      <c r="L302" s="461">
        <v>0</v>
      </c>
    </row>
    <row r="303" spans="1:14" ht="12.75" customHeight="1" thickBot="1" x14ac:dyDescent="0.25">
      <c r="A303" s="1583" t="s">
        <v>864</v>
      </c>
      <c r="B303" s="1584" t="s">
        <v>589</v>
      </c>
      <c r="C303" s="1922">
        <f>SUM(C301:C302)</f>
        <v>0</v>
      </c>
      <c r="D303" s="1922">
        <f t="shared" ref="D303:L303" si="24">SUM(D301:D302)</f>
        <v>0</v>
      </c>
      <c r="E303" s="1922">
        <f t="shared" si="24"/>
        <v>7617244</v>
      </c>
      <c r="F303" s="1922">
        <f t="shared" si="24"/>
        <v>19</v>
      </c>
      <c r="G303" s="1922">
        <f t="shared" si="24"/>
        <v>1174496</v>
      </c>
      <c r="H303" s="1922">
        <f t="shared" si="24"/>
        <v>0</v>
      </c>
      <c r="I303" s="1922">
        <f t="shared" si="24"/>
        <v>0</v>
      </c>
      <c r="J303" s="1922">
        <f t="shared" si="24"/>
        <v>0</v>
      </c>
      <c r="K303" s="1922">
        <f t="shared" si="24"/>
        <v>8791759</v>
      </c>
      <c r="L303" s="1922">
        <f t="shared" si="24"/>
        <v>7089610</v>
      </c>
    </row>
    <row r="304" spans="1:14" ht="15.75" customHeight="1" thickTop="1" x14ac:dyDescent="0.2">
      <c r="A304" s="1530" t="s">
        <v>147</v>
      </c>
      <c r="B304" s="1531" t="s">
        <v>914</v>
      </c>
      <c r="C304" s="1914"/>
      <c r="D304" s="1914"/>
      <c r="E304" s="1914"/>
      <c r="F304" s="1914"/>
      <c r="G304" s="1914"/>
      <c r="H304" s="1914"/>
      <c r="I304" s="1914"/>
      <c r="J304" s="1914"/>
      <c r="K304" s="1914"/>
      <c r="L304" s="1914"/>
    </row>
    <row r="305" spans="1:14" ht="15.75" customHeight="1" x14ac:dyDescent="0.2">
      <c r="A305" s="578" t="s">
        <v>952</v>
      </c>
      <c r="B305" s="556"/>
      <c r="C305" s="1914"/>
      <c r="D305" s="1914"/>
      <c r="E305" s="1914"/>
      <c r="F305" s="1914"/>
      <c r="G305" s="1914"/>
      <c r="H305" s="1914"/>
      <c r="I305" s="1914"/>
      <c r="J305" s="1914"/>
      <c r="K305" s="1914"/>
      <c r="L305" s="1914"/>
    </row>
    <row r="306" spans="1:14" x14ac:dyDescent="0.2">
      <c r="A306" s="1445" t="s">
        <v>1958</v>
      </c>
      <c r="B306" s="610" t="s">
        <v>1953</v>
      </c>
      <c r="C306" s="1914"/>
      <c r="D306" s="1914"/>
      <c r="E306" s="461">
        <v>0</v>
      </c>
      <c r="F306" s="1914"/>
      <c r="G306" s="1914"/>
      <c r="H306" s="461">
        <v>0</v>
      </c>
      <c r="I306" s="1914"/>
      <c r="J306" s="1914"/>
      <c r="K306" s="1951">
        <f>SUM(E306,H306)</f>
        <v>0</v>
      </c>
      <c r="L306" s="461">
        <v>0</v>
      </c>
    </row>
    <row r="307" spans="1:14" x14ac:dyDescent="0.2">
      <c r="A307" s="1431" t="s">
        <v>321</v>
      </c>
      <c r="B307" s="551">
        <v>4120</v>
      </c>
      <c r="C307" s="1914"/>
      <c r="D307" s="1914"/>
      <c r="E307" s="461">
        <v>0</v>
      </c>
      <c r="F307" s="1914"/>
      <c r="G307" s="1914"/>
      <c r="H307" s="461">
        <v>0</v>
      </c>
      <c r="I307" s="469"/>
      <c r="J307" s="1914"/>
      <c r="K307" s="1951">
        <f>SUM(E307,H307)</f>
        <v>0</v>
      </c>
      <c r="L307" s="461">
        <v>0</v>
      </c>
    </row>
    <row r="308" spans="1:14" x14ac:dyDescent="0.2">
      <c r="A308" s="1431" t="s">
        <v>720</v>
      </c>
      <c r="B308" s="551">
        <v>4140</v>
      </c>
      <c r="C308" s="1914"/>
      <c r="D308" s="1914"/>
      <c r="E308" s="461">
        <v>0</v>
      </c>
      <c r="F308" s="1914"/>
      <c r="G308" s="1914"/>
      <c r="H308" s="461">
        <v>0</v>
      </c>
      <c r="I308" s="469"/>
      <c r="J308" s="1914"/>
      <c r="K308" s="1951">
        <f>SUM(E308,H308)</f>
        <v>0</v>
      </c>
      <c r="L308" s="461">
        <v>0</v>
      </c>
    </row>
    <row r="309" spans="1:14" ht="12.75" customHeight="1" x14ac:dyDescent="0.2">
      <c r="A309" s="1435" t="s">
        <v>721</v>
      </c>
      <c r="B309" s="560">
        <v>4190</v>
      </c>
      <c r="C309" s="1914"/>
      <c r="D309" s="1914"/>
      <c r="E309" s="461">
        <v>0</v>
      </c>
      <c r="F309" s="1914"/>
      <c r="G309" s="1914"/>
      <c r="H309" s="461">
        <v>0</v>
      </c>
      <c r="I309" s="469"/>
      <c r="J309" s="1914"/>
      <c r="K309" s="1951">
        <f>SUM(E309,H309)</f>
        <v>0</v>
      </c>
      <c r="L309" s="461">
        <v>0</v>
      </c>
    </row>
    <row r="310" spans="1:14" ht="12.75" customHeight="1" thickBot="1" x14ac:dyDescent="0.25">
      <c r="A310" s="1583" t="s">
        <v>1566</v>
      </c>
      <c r="B310" s="1586" t="s">
        <v>914</v>
      </c>
      <c r="C310" s="1914"/>
      <c r="D310" s="1914"/>
      <c r="E310" s="1927">
        <f>SUM(E306:E309)</f>
        <v>0</v>
      </c>
      <c r="F310" s="1914"/>
      <c r="G310" s="1914"/>
      <c r="H310" s="1927">
        <f>SUM(H306:H309)</f>
        <v>0</v>
      </c>
      <c r="I310" s="469"/>
      <c r="J310" s="1914"/>
      <c r="K310" s="1927">
        <f>SUM(K306:K309)</f>
        <v>0</v>
      </c>
      <c r="L310" s="1922">
        <f>SUM(L306:L309)</f>
        <v>0</v>
      </c>
    </row>
    <row r="311" spans="1:14" ht="15.75" customHeight="1" thickTop="1" thickBot="1" x14ac:dyDescent="0.25">
      <c r="A311" s="1537" t="s">
        <v>950</v>
      </c>
      <c r="B311" s="1529" t="s">
        <v>915</v>
      </c>
      <c r="C311" s="1917"/>
      <c r="D311" s="1917"/>
      <c r="E311" s="1917"/>
      <c r="F311" s="1917"/>
      <c r="G311" s="1917"/>
      <c r="H311" s="1917"/>
      <c r="I311" s="1917"/>
      <c r="J311" s="1914"/>
      <c r="K311" s="1917"/>
      <c r="L311" s="1875">
        <v>0</v>
      </c>
    </row>
    <row r="312" spans="1:14" s="596" customFormat="1" ht="12.75" customHeight="1" thickTop="1" thickBot="1" x14ac:dyDescent="0.25">
      <c r="A312" s="2239" t="s">
        <v>294</v>
      </c>
      <c r="B312" s="2240"/>
      <c r="C312" s="1915">
        <f>SUM(C303)</f>
        <v>0</v>
      </c>
      <c r="D312" s="1915">
        <f>SUM(D303)</f>
        <v>0</v>
      </c>
      <c r="E312" s="1915">
        <f>SUM(E303,E310)</f>
        <v>7617244</v>
      </c>
      <c r="F312" s="1915">
        <f>SUM(F303)</f>
        <v>19</v>
      </c>
      <c r="G312" s="1915">
        <f>SUM(G303)</f>
        <v>1174496</v>
      </c>
      <c r="H312" s="1915">
        <f>SUM(H303,H310)</f>
        <v>0</v>
      </c>
      <c r="I312" s="1915">
        <f>SUM(I303)</f>
        <v>0</v>
      </c>
      <c r="J312" s="1915">
        <f>SUM(J303)</f>
        <v>0</v>
      </c>
      <c r="K312" s="1915">
        <f>SUM(K303,K310,K311)</f>
        <v>8791759</v>
      </c>
      <c r="L312" s="1915">
        <f>SUM(L303,L310,L311)</f>
        <v>7089610</v>
      </c>
      <c r="M312" s="587"/>
      <c r="N312" s="587"/>
    </row>
    <row r="313" spans="1:14" ht="13.5" thickTop="1" x14ac:dyDescent="0.2">
      <c r="A313" s="2235" t="s">
        <v>1052</v>
      </c>
      <c r="B313" s="2236"/>
      <c r="C313" s="1918"/>
      <c r="D313" s="1918"/>
      <c r="E313" s="1918"/>
      <c r="F313" s="1918"/>
      <c r="G313" s="1918"/>
      <c r="H313" s="1918"/>
      <c r="I313" s="1918"/>
      <c r="J313" s="1918"/>
      <c r="K313" s="1937">
        <f>'Revenues 9-14'!H275-'Expenditures 15-22'!K312</f>
        <v>-6458932</v>
      </c>
      <c r="L313" s="1918"/>
    </row>
    <row r="314" spans="1:14" s="588" customFormat="1" ht="9" customHeight="1" x14ac:dyDescent="0.2">
      <c r="A314" s="611"/>
      <c r="B314" s="612"/>
      <c r="C314" s="1955"/>
      <c r="D314" s="1955"/>
      <c r="E314" s="1955"/>
      <c r="F314" s="1955"/>
      <c r="G314" s="1955"/>
      <c r="H314" s="1955"/>
      <c r="I314" s="1955"/>
      <c r="J314" s="1955"/>
      <c r="K314" s="1955"/>
      <c r="L314" s="1955"/>
      <c r="M314" s="587"/>
      <c r="N314" s="587"/>
    </row>
    <row r="315" spans="1:14" ht="16.7" customHeight="1" x14ac:dyDescent="0.2">
      <c r="A315" s="2248" t="s">
        <v>151</v>
      </c>
      <c r="B315" s="2249"/>
      <c r="C315" s="1956"/>
      <c r="D315" s="1957"/>
      <c r="E315" s="1957"/>
      <c r="F315" s="1957"/>
      <c r="G315" s="1957"/>
      <c r="H315" s="1957"/>
      <c r="I315" s="1957"/>
      <c r="J315" s="1957"/>
      <c r="K315" s="1957"/>
      <c r="L315" s="1958"/>
    </row>
    <row r="316" spans="1:14" s="596" customFormat="1" ht="9" customHeight="1" x14ac:dyDescent="0.2">
      <c r="A316" s="611"/>
      <c r="B316" s="612"/>
      <c r="C316" s="1822"/>
      <c r="D316" s="1822"/>
      <c r="E316" s="1822"/>
      <c r="F316" s="1822"/>
      <c r="G316" s="1822"/>
      <c r="H316" s="1822"/>
      <c r="I316" s="1822"/>
      <c r="J316" s="1822"/>
      <c r="K316" s="1822"/>
      <c r="L316" s="1822"/>
      <c r="M316" s="587"/>
      <c r="N316" s="587"/>
    </row>
    <row r="317" spans="1:14" ht="16.7" customHeight="1" x14ac:dyDescent="0.2">
      <c r="A317" s="2250" t="s">
        <v>953</v>
      </c>
      <c r="B317" s="2249"/>
      <c r="C317" s="1956"/>
      <c r="D317" s="1957"/>
      <c r="E317" s="1957"/>
      <c r="F317" s="1957"/>
      <c r="G317" s="1957"/>
      <c r="H317" s="1957"/>
      <c r="I317" s="1957"/>
      <c r="J317" s="1957"/>
      <c r="K317" s="1957"/>
      <c r="L317" s="1958"/>
    </row>
    <row r="318" spans="1:14" s="596" customFormat="1" ht="15.75" customHeight="1" x14ac:dyDescent="0.2">
      <c r="A318" s="613" t="s">
        <v>630</v>
      </c>
      <c r="B318" s="614"/>
      <c r="C318" s="1926"/>
      <c r="D318" s="1926"/>
      <c r="E318" s="1926"/>
      <c r="F318" s="1926"/>
      <c r="G318" s="1926"/>
      <c r="H318" s="1926"/>
      <c r="I318" s="1926"/>
      <c r="J318" s="1926"/>
      <c r="K318" s="1926"/>
      <c r="L318" s="1926"/>
      <c r="M318" s="587"/>
      <c r="N318" s="587"/>
    </row>
    <row r="319" spans="1:14" s="596" customFormat="1" x14ac:dyDescent="0.2">
      <c r="A319" s="1446" t="s">
        <v>316</v>
      </c>
      <c r="B319" s="615" t="s">
        <v>298</v>
      </c>
      <c r="C319" s="461">
        <v>0</v>
      </c>
      <c r="D319" s="461">
        <v>0</v>
      </c>
      <c r="E319" s="461">
        <v>0</v>
      </c>
      <c r="F319" s="461">
        <v>0</v>
      </c>
      <c r="G319" s="461">
        <v>0</v>
      </c>
      <c r="H319" s="461">
        <v>0</v>
      </c>
      <c r="I319" s="461">
        <v>0</v>
      </c>
      <c r="J319" s="461">
        <v>0</v>
      </c>
      <c r="K319" s="1951">
        <f>SUM(C319:J319)</f>
        <v>0</v>
      </c>
      <c r="L319" s="461">
        <v>0</v>
      </c>
      <c r="M319" s="587"/>
      <c r="N319" s="587"/>
    </row>
    <row r="320" spans="1:14" s="596" customFormat="1" x14ac:dyDescent="0.2">
      <c r="A320" s="1450" t="s">
        <v>1904</v>
      </c>
      <c r="B320" s="616" t="s">
        <v>299</v>
      </c>
      <c r="C320" s="461">
        <v>0</v>
      </c>
      <c r="D320" s="461">
        <v>0</v>
      </c>
      <c r="E320" s="461">
        <v>653203</v>
      </c>
      <c r="F320" s="461">
        <v>0</v>
      </c>
      <c r="G320" s="461">
        <v>0</v>
      </c>
      <c r="H320" s="461">
        <v>0</v>
      </c>
      <c r="I320" s="461">
        <v>0</v>
      </c>
      <c r="J320" s="461">
        <v>0</v>
      </c>
      <c r="K320" s="1951">
        <f t="shared" ref="K320:K327" si="25">SUM(C320:J320)</f>
        <v>653203</v>
      </c>
      <c r="L320" s="461">
        <v>672188</v>
      </c>
      <c r="M320" s="587"/>
      <c r="N320" s="587"/>
    </row>
    <row r="321" spans="1:14" s="596" customFormat="1" x14ac:dyDescent="0.2">
      <c r="A321" s="1446" t="s">
        <v>317</v>
      </c>
      <c r="B321" s="615" t="s">
        <v>300</v>
      </c>
      <c r="C321" s="461">
        <v>0</v>
      </c>
      <c r="D321" s="461">
        <v>0</v>
      </c>
      <c r="E321" s="461">
        <v>44023</v>
      </c>
      <c r="F321" s="461">
        <v>0</v>
      </c>
      <c r="G321" s="461">
        <v>0</v>
      </c>
      <c r="H321" s="461">
        <v>0</v>
      </c>
      <c r="I321" s="461">
        <v>0</v>
      </c>
      <c r="J321" s="461">
        <v>0</v>
      </c>
      <c r="K321" s="1951">
        <f t="shared" si="25"/>
        <v>44023</v>
      </c>
      <c r="L321" s="461">
        <v>54286</v>
      </c>
      <c r="M321" s="587"/>
      <c r="N321" s="587"/>
    </row>
    <row r="322" spans="1:14" s="596" customFormat="1" x14ac:dyDescent="0.2">
      <c r="A322" s="1446" t="s">
        <v>256</v>
      </c>
      <c r="B322" s="615" t="s">
        <v>301</v>
      </c>
      <c r="C322" s="461">
        <v>0</v>
      </c>
      <c r="D322" s="461">
        <v>0</v>
      </c>
      <c r="E322" s="461">
        <v>439316</v>
      </c>
      <c r="F322" s="461">
        <v>0</v>
      </c>
      <c r="G322" s="461">
        <v>0</v>
      </c>
      <c r="H322" s="461">
        <v>0</v>
      </c>
      <c r="I322" s="461">
        <v>0</v>
      </c>
      <c r="J322" s="461">
        <v>0</v>
      </c>
      <c r="K322" s="1951">
        <f t="shared" si="25"/>
        <v>439316</v>
      </c>
      <c r="L322" s="461">
        <v>439316</v>
      </c>
      <c r="M322" s="587"/>
      <c r="N322" s="587"/>
    </row>
    <row r="323" spans="1:14" s="596" customFormat="1" x14ac:dyDescent="0.2">
      <c r="A323" s="1446" t="s">
        <v>725</v>
      </c>
      <c r="B323" s="615" t="s">
        <v>302</v>
      </c>
      <c r="C323" s="461">
        <v>0</v>
      </c>
      <c r="D323" s="461">
        <v>0</v>
      </c>
      <c r="E323" s="461">
        <v>0</v>
      </c>
      <c r="F323" s="461">
        <v>0</v>
      </c>
      <c r="G323" s="461">
        <v>0</v>
      </c>
      <c r="H323" s="461">
        <v>0</v>
      </c>
      <c r="I323" s="461">
        <v>0</v>
      </c>
      <c r="J323" s="461">
        <v>0</v>
      </c>
      <c r="K323" s="1951">
        <f t="shared" si="25"/>
        <v>0</v>
      </c>
      <c r="L323" s="461">
        <v>0</v>
      </c>
      <c r="M323" s="587"/>
      <c r="N323" s="587"/>
    </row>
    <row r="324" spans="1:14" s="596" customFormat="1" x14ac:dyDescent="0.2">
      <c r="A324" s="1446" t="s">
        <v>257</v>
      </c>
      <c r="B324" s="615" t="s">
        <v>303</v>
      </c>
      <c r="C324" s="461">
        <v>0</v>
      </c>
      <c r="D324" s="461">
        <v>0</v>
      </c>
      <c r="E324" s="461">
        <v>0</v>
      </c>
      <c r="F324" s="461">
        <v>0</v>
      </c>
      <c r="G324" s="461">
        <v>0</v>
      </c>
      <c r="H324" s="461">
        <v>0</v>
      </c>
      <c r="I324" s="461">
        <v>0</v>
      </c>
      <c r="J324" s="461">
        <v>0</v>
      </c>
      <c r="K324" s="1951">
        <f t="shared" si="25"/>
        <v>0</v>
      </c>
      <c r="L324" s="461">
        <v>0</v>
      </c>
      <c r="M324" s="587"/>
      <c r="N324" s="587"/>
    </row>
    <row r="325" spans="1:14" s="596" customFormat="1" ht="22.5" x14ac:dyDescent="0.2">
      <c r="A325" s="1446" t="s">
        <v>1086</v>
      </c>
      <c r="B325" s="616" t="s">
        <v>304</v>
      </c>
      <c r="C325" s="461">
        <v>0</v>
      </c>
      <c r="D325" s="461">
        <v>0</v>
      </c>
      <c r="E325" s="461">
        <v>0</v>
      </c>
      <c r="F325" s="461">
        <v>5496</v>
      </c>
      <c r="G325" s="461">
        <v>0</v>
      </c>
      <c r="H325" s="461">
        <v>0</v>
      </c>
      <c r="I325" s="461">
        <v>0</v>
      </c>
      <c r="J325" s="461">
        <v>0</v>
      </c>
      <c r="K325" s="1951">
        <f t="shared" si="25"/>
        <v>5496</v>
      </c>
      <c r="L325" s="461">
        <v>6000</v>
      </c>
      <c r="M325" s="587"/>
      <c r="N325" s="587"/>
    </row>
    <row r="326" spans="1:14" s="596" customFormat="1" x14ac:dyDescent="0.2">
      <c r="A326" s="1446" t="s">
        <v>1087</v>
      </c>
      <c r="B326" s="615" t="s">
        <v>305</v>
      </c>
      <c r="C326" s="461">
        <v>0</v>
      </c>
      <c r="D326" s="461">
        <v>0</v>
      </c>
      <c r="E326" s="461">
        <v>0</v>
      </c>
      <c r="F326" s="461">
        <v>0</v>
      </c>
      <c r="G326" s="461">
        <v>0</v>
      </c>
      <c r="H326" s="461">
        <v>0</v>
      </c>
      <c r="I326" s="461">
        <v>0</v>
      </c>
      <c r="J326" s="461">
        <v>0</v>
      </c>
      <c r="K326" s="1951">
        <f t="shared" si="25"/>
        <v>0</v>
      </c>
      <c r="L326" s="461">
        <v>0</v>
      </c>
      <c r="M326" s="587"/>
      <c r="N326" s="587"/>
    </row>
    <row r="327" spans="1:14" s="596" customFormat="1" x14ac:dyDescent="0.2">
      <c r="A327" s="1446" t="s">
        <v>1027</v>
      </c>
      <c r="B327" s="615" t="s">
        <v>306</v>
      </c>
      <c r="C327" s="461">
        <v>0</v>
      </c>
      <c r="D327" s="461">
        <v>0</v>
      </c>
      <c r="E327" s="461">
        <v>3003</v>
      </c>
      <c r="F327" s="461">
        <v>0</v>
      </c>
      <c r="G327" s="461">
        <v>0</v>
      </c>
      <c r="H327" s="461">
        <v>0</v>
      </c>
      <c r="I327" s="461">
        <v>0</v>
      </c>
      <c r="J327" s="461">
        <v>0</v>
      </c>
      <c r="K327" s="1951">
        <f t="shared" si="25"/>
        <v>3003</v>
      </c>
      <c r="L327" s="461">
        <v>8924</v>
      </c>
      <c r="M327" s="587"/>
      <c r="N327" s="587"/>
    </row>
    <row r="328" spans="1:14" s="596" customFormat="1" x14ac:dyDescent="0.2">
      <c r="A328" s="1447" t="s">
        <v>491</v>
      </c>
      <c r="B328" s="610" t="s">
        <v>1193</v>
      </c>
      <c r="C328" s="1828">
        <v>0</v>
      </c>
      <c r="D328" s="1828">
        <v>0</v>
      </c>
      <c r="E328" s="1828">
        <v>0</v>
      </c>
      <c r="F328" s="1828">
        <v>0</v>
      </c>
      <c r="G328" s="1828">
        <v>0</v>
      </c>
      <c r="H328" s="1828">
        <v>0</v>
      </c>
      <c r="I328" s="1828">
        <v>0</v>
      </c>
      <c r="J328" s="1828">
        <v>0</v>
      </c>
      <c r="K328" s="1959">
        <f>SUM(C328:J328)</f>
        <v>0</v>
      </c>
      <c r="L328" s="1828">
        <v>0</v>
      </c>
      <c r="M328" s="587"/>
      <c r="N328" s="587"/>
    </row>
    <row r="329" spans="1:14" s="596" customFormat="1" x14ac:dyDescent="0.2">
      <c r="A329" s="1447" t="s">
        <v>1194</v>
      </c>
      <c r="B329" s="610" t="s">
        <v>1195</v>
      </c>
      <c r="C329" s="1828">
        <v>0</v>
      </c>
      <c r="D329" s="1828">
        <v>0</v>
      </c>
      <c r="E329" s="1828">
        <v>0</v>
      </c>
      <c r="F329" s="1828">
        <v>0</v>
      </c>
      <c r="G329" s="1828">
        <v>0</v>
      </c>
      <c r="H329" s="1828">
        <v>0</v>
      </c>
      <c r="I329" s="1828">
        <v>0</v>
      </c>
      <c r="J329" s="1828">
        <v>0</v>
      </c>
      <c r="K329" s="1959">
        <f>SUM(C329:J329)</f>
        <v>0</v>
      </c>
      <c r="L329" s="1828">
        <v>0</v>
      </c>
      <c r="M329" s="587"/>
      <c r="N329" s="587"/>
    </row>
    <row r="330" spans="1:14" s="596" customFormat="1" ht="12.75" customHeight="1" thickBot="1" x14ac:dyDescent="0.25">
      <c r="A330" s="1605" t="s">
        <v>740</v>
      </c>
      <c r="B330" s="1584" t="s">
        <v>589</v>
      </c>
      <c r="C330" s="1927">
        <f>SUM(C319:C329)</f>
        <v>0</v>
      </c>
      <c r="D330" s="1927">
        <f t="shared" ref="D330:J330" si="26">SUM(D319:D329)</f>
        <v>0</v>
      </c>
      <c r="E330" s="1927">
        <f t="shared" si="26"/>
        <v>1139545</v>
      </c>
      <c r="F330" s="1927">
        <f t="shared" si="26"/>
        <v>5496</v>
      </c>
      <c r="G330" s="1927">
        <f t="shared" si="26"/>
        <v>0</v>
      </c>
      <c r="H330" s="1927">
        <f t="shared" si="26"/>
        <v>0</v>
      </c>
      <c r="I330" s="1927">
        <f t="shared" si="26"/>
        <v>0</v>
      </c>
      <c r="J330" s="1927">
        <f t="shared" si="26"/>
        <v>0</v>
      </c>
      <c r="K330" s="1927">
        <f>SUM(K319:K329)</f>
        <v>1145041</v>
      </c>
      <c r="L330" s="1927">
        <f>SUM(L319:L329)</f>
        <v>1180714</v>
      </c>
      <c r="M330" s="587"/>
      <c r="N330" s="587"/>
    </row>
    <row r="331" spans="1:14" s="596" customFormat="1" ht="12.75" customHeight="1" thickTop="1" x14ac:dyDescent="0.2">
      <c r="A331" s="1719" t="s">
        <v>1959</v>
      </c>
      <c r="B331" s="573" t="s">
        <v>914</v>
      </c>
      <c r="C331" s="1914"/>
      <c r="D331" s="1914"/>
      <c r="E331" s="1914"/>
      <c r="F331" s="1914"/>
      <c r="G331" s="1914"/>
      <c r="H331" s="1831"/>
      <c r="I331" s="1926"/>
      <c r="J331" s="1926"/>
      <c r="K331" s="1951"/>
      <c r="L331" s="1831"/>
      <c r="M331" s="587"/>
      <c r="N331" s="587"/>
    </row>
    <row r="332" spans="1:14" s="596" customFormat="1" ht="12.75" customHeight="1" x14ac:dyDescent="0.2">
      <c r="A332" s="1720" t="s">
        <v>516</v>
      </c>
      <c r="B332" s="1715" t="s">
        <v>1953</v>
      </c>
      <c r="C332" s="1914"/>
      <c r="D332" s="1914"/>
      <c r="E332" s="1914"/>
      <c r="F332" s="1914"/>
      <c r="G332" s="1914"/>
      <c r="H332" s="1831">
        <v>0</v>
      </c>
      <c r="I332" s="1926"/>
      <c r="J332" s="1926"/>
      <c r="K332" s="1951">
        <f>H332</f>
        <v>0</v>
      </c>
      <c r="L332" s="1831">
        <v>0</v>
      </c>
      <c r="M332" s="587"/>
      <c r="N332" s="587"/>
    </row>
    <row r="333" spans="1:14" s="596" customFormat="1" ht="12.75" customHeight="1" x14ac:dyDescent="0.2">
      <c r="A333" s="1720" t="s">
        <v>321</v>
      </c>
      <c r="B333" s="1715" t="s">
        <v>1955</v>
      </c>
      <c r="C333" s="1914"/>
      <c r="D333" s="1914"/>
      <c r="E333" s="1914"/>
      <c r="F333" s="1914"/>
      <c r="G333" s="1914"/>
      <c r="H333" s="462">
        <v>0</v>
      </c>
      <c r="I333" s="1926"/>
      <c r="J333" s="1926"/>
      <c r="K333" s="1951">
        <f>H333</f>
        <v>0</v>
      </c>
      <c r="L333" s="462">
        <v>0</v>
      </c>
      <c r="M333" s="587"/>
      <c r="N333" s="587"/>
    </row>
    <row r="334" spans="1:14" s="596" customFormat="1" ht="12.75" customHeight="1" x14ac:dyDescent="0.2">
      <c r="A334" s="1720" t="s">
        <v>1960</v>
      </c>
      <c r="B334" s="1715" t="s">
        <v>914</v>
      </c>
      <c r="C334" s="1914"/>
      <c r="D334" s="1914"/>
      <c r="E334" s="1914"/>
      <c r="F334" s="1914"/>
      <c r="G334" s="1914"/>
      <c r="H334" s="462">
        <f>H332+H333</f>
        <v>0</v>
      </c>
      <c r="I334" s="1926"/>
      <c r="J334" s="1926"/>
      <c r="K334" s="1951">
        <f>H334</f>
        <v>0</v>
      </c>
      <c r="L334" s="462">
        <f>L332+L333</f>
        <v>0</v>
      </c>
      <c r="M334" s="587"/>
      <c r="N334" s="587"/>
    </row>
    <row r="335" spans="1:14" ht="15.75" customHeight="1" x14ac:dyDescent="0.2">
      <c r="A335" s="1534" t="s">
        <v>954</v>
      </c>
      <c r="B335" s="1525" t="s">
        <v>512</v>
      </c>
      <c r="C335" s="1914"/>
      <c r="D335" s="1914"/>
      <c r="E335" s="1914"/>
      <c r="F335" s="1914"/>
      <c r="G335" s="1914"/>
      <c r="H335" s="1914"/>
      <c r="I335" s="1914"/>
      <c r="J335" s="1914"/>
      <c r="K335" s="1914"/>
      <c r="L335" s="1914"/>
    </row>
    <row r="336" spans="1:14" ht="15.75" customHeight="1" x14ac:dyDescent="0.2">
      <c r="A336" s="578" t="s">
        <v>635</v>
      </c>
      <c r="B336" s="556"/>
      <c r="C336" s="1914"/>
      <c r="D336" s="1914"/>
      <c r="E336" s="1914"/>
      <c r="F336" s="1914"/>
      <c r="G336" s="1914"/>
      <c r="H336" s="1917"/>
      <c r="I336" s="1914"/>
      <c r="J336" s="1914"/>
      <c r="K336" s="1917"/>
      <c r="L336" s="1917"/>
    </row>
    <row r="337" spans="1:14" x14ac:dyDescent="0.2">
      <c r="A337" s="1445" t="s">
        <v>89</v>
      </c>
      <c r="B337" s="610" t="s">
        <v>955</v>
      </c>
      <c r="C337" s="1926"/>
      <c r="D337" s="1926"/>
      <c r="E337" s="1926"/>
      <c r="F337" s="1926"/>
      <c r="G337" s="1926"/>
      <c r="H337" s="1833">
        <v>0</v>
      </c>
      <c r="I337" s="1926"/>
      <c r="J337" s="1926"/>
      <c r="K337" s="1951">
        <f>H337</f>
        <v>0</v>
      </c>
      <c r="L337" s="1833">
        <v>0</v>
      </c>
    </row>
    <row r="338" spans="1:14" ht="12.75" customHeight="1" x14ac:dyDescent="0.2">
      <c r="A338" s="1445" t="s">
        <v>1231</v>
      </c>
      <c r="B338" s="610" t="s">
        <v>637</v>
      </c>
      <c r="C338" s="1926"/>
      <c r="D338" s="1926"/>
      <c r="E338" s="1926"/>
      <c r="F338" s="1926"/>
      <c r="G338" s="1926"/>
      <c r="H338" s="1833">
        <v>0</v>
      </c>
      <c r="I338" s="1926"/>
      <c r="J338" s="1926"/>
      <c r="K338" s="1951">
        <f>H338</f>
        <v>0</v>
      </c>
      <c r="L338" s="1833">
        <v>0</v>
      </c>
    </row>
    <row r="339" spans="1:14" x14ac:dyDescent="0.2">
      <c r="A339" s="1431" t="s">
        <v>956</v>
      </c>
      <c r="B339" s="560">
        <v>5150</v>
      </c>
      <c r="C339" s="1926"/>
      <c r="D339" s="1926"/>
      <c r="E339" s="1926"/>
      <c r="F339" s="1926"/>
      <c r="G339" s="1926"/>
      <c r="H339" s="461">
        <v>0</v>
      </c>
      <c r="I339" s="1926"/>
      <c r="J339" s="1926"/>
      <c r="K339" s="1951">
        <f>H339</f>
        <v>0</v>
      </c>
      <c r="L339" s="461">
        <v>0</v>
      </c>
    </row>
    <row r="340" spans="1:14" ht="13.5" thickBot="1" x14ac:dyDescent="0.25">
      <c r="A340" s="1600" t="s">
        <v>957</v>
      </c>
      <c r="B340" s="1584" t="s">
        <v>512</v>
      </c>
      <c r="C340" s="1914"/>
      <c r="D340" s="1914"/>
      <c r="E340" s="1914"/>
      <c r="F340" s="1914"/>
      <c r="G340" s="1914"/>
      <c r="H340" s="1848">
        <f>SUM(H331:H339)</f>
        <v>0</v>
      </c>
      <c r="I340" s="1914"/>
      <c r="J340" s="1914"/>
      <c r="K340" s="1848">
        <f>SUM(K331:K339)</f>
        <v>0</v>
      </c>
      <c r="L340" s="1848">
        <f>SUM(L331:L339)</f>
        <v>0</v>
      </c>
    </row>
    <row r="341" spans="1:14" ht="15.75" customHeight="1" thickTop="1" thickBot="1" x14ac:dyDescent="0.25">
      <c r="A341" s="1537" t="s">
        <v>958</v>
      </c>
      <c r="B341" s="1529" t="s">
        <v>915</v>
      </c>
      <c r="C341" s="1914"/>
      <c r="D341" s="1914"/>
      <c r="E341" s="469"/>
      <c r="F341" s="463"/>
      <c r="G341" s="463"/>
      <c r="H341" s="469"/>
      <c r="I341" s="469"/>
      <c r="J341" s="463"/>
      <c r="K341" s="469"/>
      <c r="L341" s="1875"/>
    </row>
    <row r="342" spans="1:14" ht="12.75" customHeight="1" thickTop="1" thickBot="1" x14ac:dyDescent="0.25">
      <c r="A342" s="1592" t="s">
        <v>525</v>
      </c>
      <c r="B342" s="1606"/>
      <c r="C342" s="1927">
        <f>SUM(C330)</f>
        <v>0</v>
      </c>
      <c r="D342" s="1927">
        <f>SUM(D330)</f>
        <v>0</v>
      </c>
      <c r="E342" s="1927">
        <f>SUM(E330)</f>
        <v>1139545</v>
      </c>
      <c r="F342" s="1927">
        <f>SUM(F330)</f>
        <v>5496</v>
      </c>
      <c r="G342" s="1927">
        <f>SUM(G330)</f>
        <v>0</v>
      </c>
      <c r="H342" s="1927">
        <f>SUM(H330,H340)</f>
        <v>0</v>
      </c>
      <c r="I342" s="1927">
        <f>SUM(I330)</f>
        <v>0</v>
      </c>
      <c r="J342" s="1927">
        <f>SUM(J330)</f>
        <v>0</v>
      </c>
      <c r="K342" s="1927">
        <f>SUM(K330,K340)</f>
        <v>1145041</v>
      </c>
      <c r="L342" s="1922">
        <f>SUM(L330,L340,L341)</f>
        <v>1180714</v>
      </c>
    </row>
    <row r="343" spans="1:14" ht="12.75" customHeight="1" thickTop="1" x14ac:dyDescent="0.2">
      <c r="A343" s="2237" t="s">
        <v>1052</v>
      </c>
      <c r="B343" s="2238"/>
      <c r="C343" s="1914"/>
      <c r="D343" s="1914"/>
      <c r="E343" s="1914"/>
      <c r="F343" s="1914"/>
      <c r="G343" s="1914"/>
      <c r="H343" s="1914"/>
      <c r="I343" s="1914"/>
      <c r="J343" s="1914"/>
      <c r="K343" s="1960">
        <f>'Revenues 9-14'!J275-'Expenditures 15-22'!K342</f>
        <v>-625816</v>
      </c>
      <c r="L343" s="1914"/>
    </row>
    <row r="344" spans="1:14" s="588" customFormat="1" ht="3" customHeight="1" x14ac:dyDescent="0.2">
      <c r="A344" s="585"/>
      <c r="B344" s="586"/>
      <c r="C344" s="1932"/>
      <c r="D344" s="1932"/>
      <c r="E344" s="1932"/>
      <c r="F344" s="1932"/>
      <c r="G344" s="1932"/>
      <c r="H344" s="1932"/>
      <c r="I344" s="1932"/>
      <c r="J344" s="1932"/>
      <c r="K344" s="1932"/>
      <c r="L344" s="1932"/>
      <c r="M344" s="587"/>
      <c r="N344" s="587"/>
    </row>
    <row r="345" spans="1:14" s="590" customFormat="1" ht="16.7" customHeight="1" x14ac:dyDescent="0.2">
      <c r="A345" s="2227" t="s">
        <v>1022</v>
      </c>
      <c r="B345" s="2228"/>
      <c r="C345" s="1933"/>
      <c r="D345" s="1934"/>
      <c r="E345" s="1934"/>
      <c r="F345" s="1934"/>
      <c r="G345" s="1934"/>
      <c r="H345" s="1934"/>
      <c r="I345" s="1934"/>
      <c r="J345" s="1934"/>
      <c r="K345" s="1934"/>
      <c r="L345" s="1935"/>
      <c r="M345" s="589"/>
      <c r="N345" s="589"/>
    </row>
    <row r="346" spans="1:14" s="339" customFormat="1" ht="15.75" customHeight="1" x14ac:dyDescent="0.2">
      <c r="A346" s="1541" t="s">
        <v>898</v>
      </c>
      <c r="B346" s="1533" t="s">
        <v>589</v>
      </c>
      <c r="C346" s="1914"/>
      <c r="D346" s="1914"/>
      <c r="E346" s="1914"/>
      <c r="F346" s="1914"/>
      <c r="G346" s="1914"/>
      <c r="H346" s="1914"/>
      <c r="I346" s="1914"/>
      <c r="J346" s="1914"/>
      <c r="K346" s="1914"/>
      <c r="L346" s="1914"/>
      <c r="M346" s="546"/>
      <c r="N346" s="546"/>
    </row>
    <row r="347" spans="1:14" ht="15.75" customHeight="1" x14ac:dyDescent="0.2">
      <c r="A347" s="617" t="s">
        <v>632</v>
      </c>
      <c r="B347" s="618"/>
      <c r="C347" s="1917"/>
      <c r="D347" s="1917"/>
      <c r="E347" s="1917"/>
      <c r="F347" s="1917"/>
      <c r="G347" s="1917"/>
      <c r="H347" s="1917"/>
      <c r="I347" s="1914"/>
      <c r="J347" s="1914"/>
      <c r="K347" s="1917"/>
      <c r="L347" s="1917"/>
    </row>
    <row r="348" spans="1:14" x14ac:dyDescent="0.2">
      <c r="A348" s="1431" t="s">
        <v>4</v>
      </c>
      <c r="B348" s="551">
        <v>2530</v>
      </c>
      <c r="C348" s="461">
        <v>0</v>
      </c>
      <c r="D348" s="461">
        <v>0</v>
      </c>
      <c r="E348" s="461">
        <v>0</v>
      </c>
      <c r="F348" s="461">
        <v>0</v>
      </c>
      <c r="G348" s="461">
        <v>0</v>
      </c>
      <c r="H348" s="461">
        <v>0</v>
      </c>
      <c r="I348" s="461">
        <v>0</v>
      </c>
      <c r="J348" s="461">
        <v>0</v>
      </c>
      <c r="K348" s="1913">
        <f>SUM(C348:J348)</f>
        <v>0</v>
      </c>
      <c r="L348" s="461">
        <v>0</v>
      </c>
    </row>
    <row r="349" spans="1:14" x14ac:dyDescent="0.2">
      <c r="A349" s="1431" t="s">
        <v>206</v>
      </c>
      <c r="B349" s="551">
        <v>2540</v>
      </c>
      <c r="C349" s="461">
        <v>0</v>
      </c>
      <c r="D349" s="461">
        <v>0</v>
      </c>
      <c r="E349" s="461">
        <v>17901</v>
      </c>
      <c r="F349" s="461">
        <v>0</v>
      </c>
      <c r="G349" s="461">
        <v>0</v>
      </c>
      <c r="H349" s="461">
        <v>0</v>
      </c>
      <c r="I349" s="461">
        <v>0</v>
      </c>
      <c r="J349" s="461">
        <v>0</v>
      </c>
      <c r="K349" s="1913">
        <f>SUM(C349:J349)</f>
        <v>17901</v>
      </c>
      <c r="L349" s="461">
        <v>17901</v>
      </c>
    </row>
    <row r="350" spans="1:14" ht="12.75" customHeight="1" thickBot="1" x14ac:dyDescent="0.25">
      <c r="A350" s="1583" t="s">
        <v>742</v>
      </c>
      <c r="B350" s="1584" t="s">
        <v>35</v>
      </c>
      <c r="C350" s="1915">
        <f>SUM(C348:C349)</f>
        <v>0</v>
      </c>
      <c r="D350" s="1915">
        <f t="shared" ref="D350:L350" si="27">SUM(D348:D349)</f>
        <v>0</v>
      </c>
      <c r="E350" s="1915">
        <f t="shared" si="27"/>
        <v>17901</v>
      </c>
      <c r="F350" s="1915">
        <f t="shared" si="27"/>
        <v>0</v>
      </c>
      <c r="G350" s="1915">
        <f t="shared" si="27"/>
        <v>0</v>
      </c>
      <c r="H350" s="1915">
        <f t="shared" si="27"/>
        <v>0</v>
      </c>
      <c r="I350" s="1915">
        <f t="shared" si="27"/>
        <v>0</v>
      </c>
      <c r="J350" s="1915">
        <f t="shared" si="27"/>
        <v>0</v>
      </c>
      <c r="K350" s="1915">
        <f t="shared" si="27"/>
        <v>17901</v>
      </c>
      <c r="L350" s="1915">
        <f t="shared" si="27"/>
        <v>17901</v>
      </c>
    </row>
    <row r="351" spans="1:14" ht="12.75" customHeight="1" thickTop="1" x14ac:dyDescent="0.2">
      <c r="A351" s="1437" t="s">
        <v>1036</v>
      </c>
      <c r="B351" s="569" t="s">
        <v>594</v>
      </c>
      <c r="C351" s="1833">
        <v>0</v>
      </c>
      <c r="D351" s="1833">
        <v>0</v>
      </c>
      <c r="E351" s="1833">
        <v>0</v>
      </c>
      <c r="F351" s="1833">
        <v>0</v>
      </c>
      <c r="G351" s="1833">
        <v>0</v>
      </c>
      <c r="H351" s="1833">
        <v>0</v>
      </c>
      <c r="I351" s="1833">
        <v>0</v>
      </c>
      <c r="J351" s="1833">
        <v>0</v>
      </c>
      <c r="K351" s="1913">
        <f>SUM(C351:J351)</f>
        <v>0</v>
      </c>
      <c r="L351" s="1833">
        <v>0</v>
      </c>
    </row>
    <row r="352" spans="1:14" ht="12.75" customHeight="1" thickBot="1" x14ac:dyDescent="0.25">
      <c r="A352" s="1583" t="s">
        <v>644</v>
      </c>
      <c r="B352" s="1586" t="s">
        <v>589</v>
      </c>
      <c r="C352" s="1915">
        <f>SUM(C350:C351)</f>
        <v>0</v>
      </c>
      <c r="D352" s="1915">
        <f t="shared" ref="D352:L352" si="28">SUM(D350:D351)</f>
        <v>0</v>
      </c>
      <c r="E352" s="1915">
        <f t="shared" si="28"/>
        <v>17901</v>
      </c>
      <c r="F352" s="1915">
        <f t="shared" si="28"/>
        <v>0</v>
      </c>
      <c r="G352" s="1915">
        <f t="shared" si="28"/>
        <v>0</v>
      </c>
      <c r="H352" s="1915">
        <f t="shared" si="28"/>
        <v>0</v>
      </c>
      <c r="I352" s="1915">
        <f t="shared" si="28"/>
        <v>0</v>
      </c>
      <c r="J352" s="1915">
        <f t="shared" si="28"/>
        <v>0</v>
      </c>
      <c r="K352" s="1915">
        <f t="shared" si="28"/>
        <v>17901</v>
      </c>
      <c r="L352" s="1915">
        <f t="shared" si="28"/>
        <v>17901</v>
      </c>
    </row>
    <row r="353" spans="1:14" s="339" customFormat="1" ht="15.75" customHeight="1" thickTop="1" x14ac:dyDescent="0.2">
      <c r="A353" s="1530" t="s">
        <v>645</v>
      </c>
      <c r="B353" s="1527" t="s">
        <v>914</v>
      </c>
      <c r="C353" s="1914"/>
      <c r="D353" s="1914"/>
      <c r="E353" s="1914"/>
      <c r="F353" s="1914"/>
      <c r="G353" s="1914"/>
      <c r="H353" s="1914"/>
      <c r="I353" s="1914"/>
      <c r="J353" s="1914"/>
      <c r="K353" s="1914"/>
      <c r="L353" s="1914"/>
      <c r="M353" s="546"/>
      <c r="N353" s="546"/>
    </row>
    <row r="354" spans="1:14" ht="13.5" thickBot="1" x14ac:dyDescent="0.25">
      <c r="A354" s="1721" t="s">
        <v>1961</v>
      </c>
      <c r="B354" s="605" t="s">
        <v>1953</v>
      </c>
      <c r="C354" s="1914"/>
      <c r="D354" s="1914"/>
      <c r="E354" s="1914"/>
      <c r="F354" s="1914"/>
      <c r="G354" s="1914"/>
      <c r="H354" s="1873">
        <v>0</v>
      </c>
      <c r="I354" s="1961"/>
      <c r="J354" s="1914"/>
      <c r="K354" s="1913">
        <f t="shared" ref="K354:K355" si="29">SUM(C354:J354)</f>
        <v>0</v>
      </c>
      <c r="L354" s="1873">
        <v>0</v>
      </c>
    </row>
    <row r="355" spans="1:14" ht="12.75" customHeight="1" thickTop="1" thickBot="1" x14ac:dyDescent="0.25">
      <c r="A355" s="1440" t="s">
        <v>1962</v>
      </c>
      <c r="B355" s="610" t="s">
        <v>1955</v>
      </c>
      <c r="C355" s="1914"/>
      <c r="D355" s="1914"/>
      <c r="E355" s="1914"/>
      <c r="F355" s="1914"/>
      <c r="G355" s="1914"/>
      <c r="H355" s="1873">
        <v>0</v>
      </c>
      <c r="I355" s="1961"/>
      <c r="J355" s="1914"/>
      <c r="K355" s="1913">
        <f t="shared" si="29"/>
        <v>0</v>
      </c>
      <c r="L355" s="1873">
        <v>0</v>
      </c>
    </row>
    <row r="356" spans="1:14" ht="12.75" customHeight="1" thickTop="1" thickBot="1" x14ac:dyDescent="0.25">
      <c r="A356" s="1721" t="s">
        <v>721</v>
      </c>
      <c r="B356" s="605" t="s">
        <v>578</v>
      </c>
      <c r="C356" s="1914"/>
      <c r="D356" s="1914"/>
      <c r="E356" s="1914"/>
      <c r="F356" s="1914"/>
      <c r="G356" s="1914"/>
      <c r="H356" s="1876">
        <v>0</v>
      </c>
      <c r="I356" s="1961"/>
      <c r="J356" s="1914"/>
      <c r="K356" s="1913">
        <f>SUM(C356:J356)</f>
        <v>0</v>
      </c>
      <c r="L356" s="1876">
        <v>0</v>
      </c>
    </row>
    <row r="357" spans="1:14" ht="12.75" customHeight="1" thickTop="1" thickBot="1" x14ac:dyDescent="0.25">
      <c r="A357" s="1583" t="s">
        <v>1566</v>
      </c>
      <c r="B357" s="1584" t="s">
        <v>914</v>
      </c>
      <c r="C357" s="1914"/>
      <c r="D357" s="1914"/>
      <c r="E357" s="1914"/>
      <c r="F357" s="1914"/>
      <c r="G357" s="1914"/>
      <c r="H357" s="1962">
        <f>H354+H355+H356</f>
        <v>0</v>
      </c>
      <c r="I357" s="1961"/>
      <c r="J357" s="1914"/>
      <c r="K357" s="1962">
        <f>K354+K355+K356</f>
        <v>0</v>
      </c>
      <c r="L357" s="1962">
        <f>L354+L355+L356</f>
        <v>0</v>
      </c>
    </row>
    <row r="358" spans="1:14" s="339" customFormat="1" ht="15.75" customHeight="1" thickTop="1" x14ac:dyDescent="0.2">
      <c r="A358" s="1530" t="s">
        <v>1004</v>
      </c>
      <c r="B358" s="1527" t="s">
        <v>512</v>
      </c>
      <c r="C358" s="1914"/>
      <c r="D358" s="1914"/>
      <c r="E358" s="1914"/>
      <c r="F358" s="1914"/>
      <c r="G358" s="1914"/>
      <c r="H358" s="1914"/>
      <c r="I358" s="1914"/>
      <c r="J358" s="1914"/>
      <c r="K358" s="1914"/>
      <c r="L358" s="1914"/>
      <c r="M358" s="546"/>
      <c r="N358" s="546"/>
    </row>
    <row r="359" spans="1:14" s="339" customFormat="1" ht="15.75" customHeight="1" x14ac:dyDescent="0.2">
      <c r="A359" s="578" t="s">
        <v>647</v>
      </c>
      <c r="B359" s="556"/>
      <c r="C359" s="1914"/>
      <c r="D359" s="1914"/>
      <c r="E359" s="1914"/>
      <c r="F359" s="1914"/>
      <c r="G359" s="1914"/>
      <c r="H359" s="1914"/>
      <c r="I359" s="1914"/>
      <c r="J359" s="1914"/>
      <c r="K359" s="1917"/>
      <c r="L359" s="1917"/>
      <c r="M359" s="546"/>
      <c r="N359" s="546"/>
    </row>
    <row r="360" spans="1:14" x14ac:dyDescent="0.2">
      <c r="A360" s="1431" t="s">
        <v>89</v>
      </c>
      <c r="B360" s="551">
        <v>5110</v>
      </c>
      <c r="C360" s="1914"/>
      <c r="D360" s="1914"/>
      <c r="E360" s="1914"/>
      <c r="F360" s="1914"/>
      <c r="G360" s="1914"/>
      <c r="H360" s="461">
        <v>0</v>
      </c>
      <c r="I360" s="1914"/>
      <c r="J360" s="1914"/>
      <c r="K360" s="1913">
        <f>SUM(C360:J360)</f>
        <v>0</v>
      </c>
      <c r="L360" s="461">
        <v>0</v>
      </c>
    </row>
    <row r="361" spans="1:14" ht="12.75" customHeight="1" x14ac:dyDescent="0.2">
      <c r="A361" s="1432" t="s">
        <v>639</v>
      </c>
      <c r="B361" s="539" t="s">
        <v>638</v>
      </c>
      <c r="C361" s="1914"/>
      <c r="D361" s="1914"/>
      <c r="E361" s="1914"/>
      <c r="F361" s="1914"/>
      <c r="G361" s="1914"/>
      <c r="H361" s="461">
        <v>0</v>
      </c>
      <c r="I361" s="1914"/>
      <c r="J361" s="1914"/>
      <c r="K361" s="1913">
        <f>SUM(C361:J361)</f>
        <v>0</v>
      </c>
      <c r="L361" s="461">
        <v>0</v>
      </c>
    </row>
    <row r="362" spans="1:14" ht="12.75" customHeight="1" thickBot="1" x14ac:dyDescent="0.25">
      <c r="A362" s="1583" t="s">
        <v>646</v>
      </c>
      <c r="B362" s="1584" t="s">
        <v>741</v>
      </c>
      <c r="C362" s="1914"/>
      <c r="D362" s="1914"/>
      <c r="E362" s="1914"/>
      <c r="F362" s="1914"/>
      <c r="G362" s="1914"/>
      <c r="H362" s="1878">
        <f>SUM(H360:H361)</f>
        <v>0</v>
      </c>
      <c r="I362" s="1914"/>
      <c r="J362" s="1914"/>
      <c r="K362" s="1878">
        <f>SUM(K360:K361)</f>
        <v>0</v>
      </c>
      <c r="L362" s="1878">
        <f>SUM(L360:L361)</f>
        <v>0</v>
      </c>
    </row>
    <row r="363" spans="1:14" s="596" customFormat="1" ht="15.75" customHeight="1" thickTop="1" x14ac:dyDescent="0.2">
      <c r="A363" s="583" t="s">
        <v>85</v>
      </c>
      <c r="B363" s="584" t="s">
        <v>38</v>
      </c>
      <c r="C363" s="1926"/>
      <c r="D363" s="1926"/>
      <c r="E363" s="1926"/>
      <c r="F363" s="1926"/>
      <c r="G363" s="1926"/>
      <c r="H363" s="1839">
        <v>0</v>
      </c>
      <c r="I363" s="1926"/>
      <c r="J363" s="1926"/>
      <c r="K363" s="1963">
        <f>SUM(C363:J363)</f>
        <v>0</v>
      </c>
      <c r="L363" s="1839">
        <v>0</v>
      </c>
      <c r="M363" s="587"/>
      <c r="N363" s="587"/>
    </row>
    <row r="364" spans="1:14" s="621" customFormat="1" ht="29.25" customHeight="1" x14ac:dyDescent="0.2">
      <c r="A364" s="619" t="s">
        <v>1770</v>
      </c>
      <c r="B364" s="620">
        <v>5300</v>
      </c>
      <c r="C364" s="1964"/>
      <c r="D364" s="1965"/>
      <c r="E364" s="1965"/>
      <c r="F364" s="1964"/>
      <c r="G364" s="1965"/>
      <c r="H364" s="1966">
        <v>0</v>
      </c>
      <c r="I364" s="1965"/>
      <c r="J364" s="1965"/>
      <c r="K364" s="1913">
        <f>SUM(C364:J364)</f>
        <v>0</v>
      </c>
      <c r="L364" s="1967">
        <v>0</v>
      </c>
    </row>
    <row r="365" spans="1:14" s="596" customFormat="1" ht="12.75" customHeight="1" thickBot="1" x14ac:dyDescent="0.25">
      <c r="A365" s="1448" t="s">
        <v>610</v>
      </c>
      <c r="B365" s="582" t="s">
        <v>512</v>
      </c>
      <c r="C365" s="1926"/>
      <c r="D365" s="1926"/>
      <c r="E365" s="1926"/>
      <c r="F365" s="1926"/>
      <c r="G365" s="1926"/>
      <c r="H365" s="1871">
        <f>SUM(H362,H363,H364)</f>
        <v>0</v>
      </c>
      <c r="I365" s="1926"/>
      <c r="J365" s="1926"/>
      <c r="K365" s="1871">
        <f>SUM(K362,K363,K364)</f>
        <v>0</v>
      </c>
      <c r="L365" s="1871">
        <f>SUM(L362,L363,L364)</f>
        <v>0</v>
      </c>
      <c r="M365" s="587"/>
      <c r="N365" s="587"/>
    </row>
    <row r="366" spans="1:14" s="339" customFormat="1" ht="15.75" customHeight="1" thickTop="1" thickBot="1" x14ac:dyDescent="0.25">
      <c r="A366" s="1524" t="s">
        <v>1005</v>
      </c>
      <c r="B366" s="1531" t="s">
        <v>915</v>
      </c>
      <c r="C366" s="1917"/>
      <c r="D366" s="1917"/>
      <c r="E366" s="1917"/>
      <c r="F366" s="1917"/>
      <c r="G366" s="1917"/>
      <c r="H366" s="1917"/>
      <c r="I366" s="1917"/>
      <c r="J366" s="1914"/>
      <c r="K366" s="1917"/>
      <c r="L366" s="1877">
        <v>0</v>
      </c>
      <c r="M366" s="546"/>
      <c r="N366" s="546"/>
    </row>
    <row r="367" spans="1:14" ht="12.75" customHeight="1" thickTop="1" thickBot="1" x14ac:dyDescent="0.25">
      <c r="A367" s="1598" t="s">
        <v>525</v>
      </c>
      <c r="B367" s="1607"/>
      <c r="C367" s="1915">
        <f t="shared" ref="C367:L367" si="30">SUM(C352,C357,C365,C366)</f>
        <v>0</v>
      </c>
      <c r="D367" s="1915">
        <f t="shared" si="30"/>
        <v>0</v>
      </c>
      <c r="E367" s="1915">
        <f t="shared" si="30"/>
        <v>17901</v>
      </c>
      <c r="F367" s="1915">
        <f t="shared" si="30"/>
        <v>0</v>
      </c>
      <c r="G367" s="1915">
        <f t="shared" si="30"/>
        <v>0</v>
      </c>
      <c r="H367" s="1915">
        <f t="shared" si="30"/>
        <v>0</v>
      </c>
      <c r="I367" s="1915">
        <f t="shared" si="30"/>
        <v>0</v>
      </c>
      <c r="J367" s="1915">
        <f t="shared" si="30"/>
        <v>0</v>
      </c>
      <c r="K367" s="1915">
        <f t="shared" si="30"/>
        <v>17901</v>
      </c>
      <c r="L367" s="1915">
        <f t="shared" si="30"/>
        <v>17901</v>
      </c>
    </row>
    <row r="368" spans="1:14" ht="13.5" thickTop="1" x14ac:dyDescent="0.2">
      <c r="A368" s="2251" t="s">
        <v>1052</v>
      </c>
      <c r="B368" s="2252"/>
      <c r="C368" s="1954"/>
      <c r="D368" s="1954"/>
      <c r="E368" s="1916"/>
      <c r="F368" s="1916"/>
      <c r="G368" s="1916"/>
      <c r="H368" s="1916"/>
      <c r="I368" s="1916"/>
      <c r="J368" s="1914"/>
      <c r="K368" s="1963">
        <f>'Revenues 9-14'!K275-'Expenditures 15-22'!K367</f>
        <v>92057</v>
      </c>
      <c r="L368" s="1954"/>
    </row>
    <row r="369" spans="3:12" x14ac:dyDescent="0.2">
      <c r="C369" s="1822"/>
      <c r="D369" s="1822"/>
      <c r="E369" s="1822"/>
      <c r="F369" s="1822"/>
      <c r="G369" s="1822"/>
      <c r="H369" s="1820"/>
      <c r="I369" s="1823"/>
      <c r="J369" s="1822"/>
      <c r="K369" s="1824"/>
      <c r="L369" s="1820"/>
    </row>
    <row r="370" spans="3:12" x14ac:dyDescent="0.2">
      <c r="C370" s="1822"/>
      <c r="D370" s="1822"/>
      <c r="E370" s="1822"/>
      <c r="F370" s="1822"/>
      <c r="G370" s="1822"/>
      <c r="H370" s="1824"/>
      <c r="I370" s="1823"/>
      <c r="J370" s="1822"/>
      <c r="K370" s="1824"/>
      <c r="L370" s="1824"/>
    </row>
    <row r="371" spans="3:12" x14ac:dyDescent="0.2">
      <c r="C371" s="1822"/>
      <c r="D371" s="1822"/>
      <c r="E371" s="1822"/>
      <c r="F371" s="1822"/>
      <c r="G371" s="1822"/>
      <c r="H371" s="1822"/>
      <c r="I371" s="1822"/>
      <c r="J371" s="1822"/>
      <c r="K371" s="1822"/>
      <c r="L371" s="1822"/>
    </row>
    <row r="372" spans="3:12" x14ac:dyDescent="0.2">
      <c r="C372" s="1822"/>
      <c r="D372" s="1822"/>
      <c r="E372" s="1822"/>
      <c r="F372" s="1822"/>
      <c r="G372" s="1822"/>
      <c r="H372" s="1822"/>
      <c r="I372" s="1822"/>
      <c r="J372" s="1822"/>
      <c r="K372" s="1822"/>
      <c r="L372" s="1822"/>
    </row>
    <row r="373" spans="3:12" x14ac:dyDescent="0.2">
      <c r="C373" s="1822"/>
      <c r="D373" s="1822"/>
      <c r="E373" s="1822"/>
      <c r="F373" s="1822"/>
      <c r="G373" s="1822"/>
      <c r="H373" s="1820"/>
      <c r="I373" s="1822"/>
      <c r="J373" s="1822"/>
      <c r="K373" s="1822"/>
      <c r="L373" s="1820"/>
    </row>
    <row r="374" spans="3:12" x14ac:dyDescent="0.2">
      <c r="C374" s="1822"/>
      <c r="D374" s="1822"/>
      <c r="E374" s="1822"/>
      <c r="F374" s="1822"/>
      <c r="G374" s="1822"/>
      <c r="H374" s="1820"/>
      <c r="I374" s="1822"/>
      <c r="J374" s="1822"/>
      <c r="K374" s="1822"/>
      <c r="L374" s="1820"/>
    </row>
    <row r="375" spans="3:12" x14ac:dyDescent="0.2">
      <c r="C375" s="1822"/>
      <c r="D375" s="1822"/>
      <c r="E375" s="1822"/>
      <c r="F375" s="1822"/>
      <c r="G375" s="1822"/>
      <c r="H375" s="1824"/>
      <c r="I375" s="1822"/>
      <c r="J375" s="1822"/>
      <c r="K375" s="1824"/>
      <c r="L375" s="1824"/>
    </row>
    <row r="376" spans="3:12" x14ac:dyDescent="0.2">
      <c r="C376" s="1822"/>
      <c r="D376" s="1822"/>
      <c r="E376" s="1822"/>
      <c r="F376" s="1822"/>
      <c r="G376" s="1822"/>
      <c r="H376" s="1820"/>
      <c r="I376" s="1822"/>
      <c r="J376" s="1822"/>
      <c r="K376" s="1822"/>
      <c r="L376" s="1820"/>
    </row>
    <row r="377" spans="3:12" x14ac:dyDescent="0.2">
      <c r="C377" s="1825"/>
      <c r="D377" s="1825"/>
      <c r="E377" s="1825"/>
      <c r="F377" s="1825"/>
      <c r="G377" s="1825"/>
      <c r="H377" s="1821"/>
      <c r="I377" s="1825"/>
      <c r="J377" s="1825"/>
      <c r="K377" s="1822"/>
      <c r="L377" s="1826"/>
    </row>
    <row r="378" spans="3:12" x14ac:dyDescent="0.2">
      <c r="C378" s="1822"/>
      <c r="D378" s="1822"/>
      <c r="E378" s="1822"/>
      <c r="F378" s="1822"/>
      <c r="G378" s="1822"/>
      <c r="H378" s="1824"/>
      <c r="I378" s="1822"/>
      <c r="J378" s="1822"/>
      <c r="K378" s="1824"/>
      <c r="L378" s="1824"/>
    </row>
    <row r="379" spans="3:12" x14ac:dyDescent="0.2">
      <c r="C379" s="1822"/>
      <c r="D379" s="1822"/>
      <c r="E379" s="1822"/>
      <c r="F379" s="1822"/>
      <c r="G379" s="1822"/>
      <c r="H379" s="1822"/>
      <c r="I379" s="1822"/>
      <c r="J379" s="1822"/>
      <c r="K379" s="1822"/>
      <c r="L379" s="1820"/>
    </row>
    <row r="380" spans="3:12" x14ac:dyDescent="0.2">
      <c r="C380" s="1822"/>
      <c r="D380" s="1822"/>
      <c r="E380" s="1822"/>
      <c r="F380" s="1822"/>
      <c r="G380" s="1822"/>
      <c r="H380" s="1822"/>
      <c r="I380" s="1822"/>
      <c r="J380" s="1822"/>
      <c r="K380" s="1822"/>
      <c r="L380" s="1822"/>
    </row>
    <row r="381" spans="3:12" x14ac:dyDescent="0.2">
      <c r="C381" s="1822"/>
      <c r="D381" s="1822"/>
      <c r="E381" s="1822"/>
      <c r="F381" s="1822"/>
      <c r="G381" s="1822"/>
      <c r="H381" s="1822"/>
      <c r="I381" s="1822"/>
      <c r="J381" s="1822"/>
      <c r="K381" s="1822"/>
      <c r="L381" s="1822"/>
    </row>
  </sheetData>
  <sheetProtection algorithmName="SHA-512" hashValue="HYH8imTLa1Ed/dDj3sdWzcHBgpjlKWowdnZBdWWC7XgyWKZHdkUcMAklcIkHZrnUJt/2UEvb+0ygZY7JKRGTmg==" saltValue="AL1xc516Qt2RbMW6yvRF+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0000"/>
  </sheetPr>
  <dimension ref="A1:F36"/>
  <sheetViews>
    <sheetView showGridLines="0" defaultGridColor="0" colorId="8" zoomScale="92" zoomScaleNormal="92" workbookViewId="0">
      <selection activeCell="B4" sqref="B4"/>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68" t="s">
        <v>106</v>
      </c>
    </row>
    <row r="2" spans="1:6" ht="39.75" customHeight="1" x14ac:dyDescent="0.2">
      <c r="A2" s="2253" t="s">
        <v>1901</v>
      </c>
      <c r="B2" s="1455" t="s">
        <v>2033</v>
      </c>
      <c r="C2" s="627" t="s">
        <v>1906</v>
      </c>
      <c r="D2" s="627" t="s">
        <v>1907</v>
      </c>
      <c r="E2" s="627" t="s">
        <v>1908</v>
      </c>
      <c r="F2" s="627" t="s">
        <v>1909</v>
      </c>
    </row>
    <row r="3" spans="1:6" ht="12" customHeight="1" x14ac:dyDescent="0.2">
      <c r="A3" s="2254"/>
      <c r="B3" s="1452"/>
      <c r="C3" s="1453"/>
      <c r="D3" s="1454" t="s">
        <v>274</v>
      </c>
      <c r="E3" s="1453"/>
      <c r="F3" s="1454" t="s">
        <v>275</v>
      </c>
    </row>
    <row r="4" spans="1:6" ht="13.7" customHeight="1" x14ac:dyDescent="0.2">
      <c r="A4" s="628" t="s">
        <v>1216</v>
      </c>
      <c r="B4" s="1639">
        <v>71216631</v>
      </c>
      <c r="C4" s="1451">
        <v>38436924</v>
      </c>
      <c r="D4" s="1642">
        <f>B4-C4</f>
        <v>32779707</v>
      </c>
      <c r="E4" s="1451">
        <v>72684980</v>
      </c>
      <c r="F4" s="1642">
        <f>E4-C4</f>
        <v>34248056</v>
      </c>
    </row>
    <row r="5" spans="1:6" ht="13.7" customHeight="1" x14ac:dyDescent="0.2">
      <c r="A5" s="628" t="s">
        <v>924</v>
      </c>
      <c r="B5" s="1640">
        <f>'Revenues 9-14'!D5</f>
        <v>9748918</v>
      </c>
      <c r="C5" s="530">
        <v>5300312</v>
      </c>
      <c r="D5" s="1643">
        <f t="shared" ref="D5:D18" si="0">B5-C5</f>
        <v>4448606</v>
      </c>
      <c r="E5" s="530">
        <v>10022995</v>
      </c>
      <c r="F5" s="1643">
        <f>E5-C5</f>
        <v>4722683</v>
      </c>
    </row>
    <row r="6" spans="1:6" ht="13.7" customHeight="1" x14ac:dyDescent="0.2">
      <c r="A6" s="628" t="s">
        <v>430</v>
      </c>
      <c r="B6" s="1640">
        <f>'Revenues 9-14'!E5</f>
        <v>9680064</v>
      </c>
      <c r="C6" s="530">
        <v>9199151</v>
      </c>
      <c r="D6" s="1643">
        <f t="shared" si="0"/>
        <v>480913</v>
      </c>
      <c r="E6" s="530">
        <v>17395775</v>
      </c>
      <c r="F6" s="1643">
        <f t="shared" ref="F6:F18" si="1">E6-C6</f>
        <v>8196624</v>
      </c>
    </row>
    <row r="7" spans="1:6" ht="13.7" customHeight="1" x14ac:dyDescent="0.2">
      <c r="A7" s="628" t="s">
        <v>157</v>
      </c>
      <c r="B7" s="1640">
        <f>'Revenues 9-14'!F5</f>
        <v>3973143</v>
      </c>
      <c r="C7" s="530">
        <v>2607421</v>
      </c>
      <c r="D7" s="1643">
        <f t="shared" si="0"/>
        <v>1365722</v>
      </c>
      <c r="E7" s="530">
        <v>4930685</v>
      </c>
      <c r="F7" s="1643">
        <f t="shared" si="1"/>
        <v>2323264</v>
      </c>
    </row>
    <row r="8" spans="1:6" ht="13.7" customHeight="1" x14ac:dyDescent="0.2">
      <c r="A8" s="628" t="s">
        <v>1240</v>
      </c>
      <c r="B8" s="1640">
        <f>'Revenues 9-14'!G5</f>
        <v>3191342</v>
      </c>
      <c r="C8" s="530">
        <v>2129726</v>
      </c>
      <c r="D8" s="1643">
        <f t="shared" si="0"/>
        <v>1061616</v>
      </c>
      <c r="E8" s="530">
        <v>4027353</v>
      </c>
      <c r="F8" s="1643">
        <f t="shared" si="1"/>
        <v>1897627</v>
      </c>
    </row>
    <row r="9" spans="1:6" ht="13.7" customHeight="1" x14ac:dyDescent="0.2">
      <c r="A9" s="628" t="s">
        <v>427</v>
      </c>
      <c r="B9" s="1640">
        <f>'Revenues 9-14'!H5</f>
        <v>0</v>
      </c>
      <c r="C9" s="530"/>
      <c r="D9" s="1643">
        <f t="shared" si="0"/>
        <v>0</v>
      </c>
      <c r="E9" s="530"/>
      <c r="F9" s="1643">
        <f t="shared" si="1"/>
        <v>0</v>
      </c>
    </row>
    <row r="10" spans="1:6" ht="13.7" customHeight="1" x14ac:dyDescent="0.2">
      <c r="A10" s="628" t="s">
        <v>426</v>
      </c>
      <c r="B10" s="1640">
        <f>'Revenues 9-14'!I5</f>
        <v>34296</v>
      </c>
      <c r="C10" s="530">
        <v>16392</v>
      </c>
      <c r="D10" s="1643">
        <f t="shared" si="0"/>
        <v>17904</v>
      </c>
      <c r="E10" s="530">
        <v>30997</v>
      </c>
      <c r="F10" s="1643">
        <f t="shared" si="1"/>
        <v>14605</v>
      </c>
    </row>
    <row r="11" spans="1:6" x14ac:dyDescent="0.2">
      <c r="A11" s="628" t="s">
        <v>428</v>
      </c>
      <c r="B11" s="1640">
        <f>'Revenues 9-14'!J5</f>
        <v>490732</v>
      </c>
      <c r="C11" s="530">
        <v>49175</v>
      </c>
      <c r="D11" s="1643">
        <f t="shared" si="0"/>
        <v>441557</v>
      </c>
      <c r="E11" s="530">
        <v>92990</v>
      </c>
      <c r="F11" s="1643">
        <f t="shared" si="1"/>
        <v>43815</v>
      </c>
    </row>
    <row r="12" spans="1:6" ht="13.7" customHeight="1" x14ac:dyDescent="0.2">
      <c r="A12" s="628" t="s">
        <v>159</v>
      </c>
      <c r="B12" s="1640">
        <f>'Revenues 9-14'!K5</f>
        <v>99173</v>
      </c>
      <c r="C12" s="530">
        <v>84299</v>
      </c>
      <c r="D12" s="1643">
        <f t="shared" si="0"/>
        <v>14874</v>
      </c>
      <c r="E12" s="530">
        <v>159411</v>
      </c>
      <c r="F12" s="1643">
        <f t="shared" si="1"/>
        <v>75112</v>
      </c>
    </row>
    <row r="13" spans="1:6" ht="13.7" customHeight="1" x14ac:dyDescent="0.2">
      <c r="A13" s="628" t="s">
        <v>992</v>
      </c>
      <c r="B13" s="1640">
        <f>SUM('Revenues 9-14'!C6:D6)</f>
        <v>0</v>
      </c>
      <c r="C13" s="530"/>
      <c r="D13" s="1643">
        <f t="shared" si="0"/>
        <v>0</v>
      </c>
      <c r="E13" s="530"/>
      <c r="F13" s="1643">
        <f t="shared" si="1"/>
        <v>0</v>
      </c>
    </row>
    <row r="14" spans="1:6" ht="13.7" customHeight="1" x14ac:dyDescent="0.2">
      <c r="A14" s="628" t="s">
        <v>429</v>
      </c>
      <c r="B14" s="1640">
        <f>SUM('Revenues 9-14'!C7:D7,'Revenues 9-14'!F7:H7)</f>
        <v>1612258</v>
      </c>
      <c r="C14" s="530">
        <v>888654</v>
      </c>
      <c r="D14" s="1643">
        <f t="shared" si="0"/>
        <v>723604</v>
      </c>
      <c r="E14" s="530">
        <v>1680462</v>
      </c>
      <c r="F14" s="1643">
        <f t="shared" si="1"/>
        <v>791808</v>
      </c>
    </row>
    <row r="15" spans="1:6" ht="13.7" customHeight="1" x14ac:dyDescent="0.2">
      <c r="A15" s="628" t="s">
        <v>1219</v>
      </c>
      <c r="B15" s="1640">
        <f>'Revenues 9-14'!E9</f>
        <v>0</v>
      </c>
      <c r="C15" s="530"/>
      <c r="D15" s="1643">
        <f t="shared" si="0"/>
        <v>0</v>
      </c>
      <c r="E15" s="530"/>
      <c r="F15" s="1643">
        <f t="shared" si="1"/>
        <v>0</v>
      </c>
    </row>
    <row r="16" spans="1:6" ht="13.7" customHeight="1" x14ac:dyDescent="0.2">
      <c r="A16" s="628" t="s">
        <v>1220</v>
      </c>
      <c r="B16" s="1640">
        <f>'Revenues 9-14'!G8</f>
        <v>695250</v>
      </c>
      <c r="C16" s="530">
        <v>179136</v>
      </c>
      <c r="D16" s="1643">
        <f t="shared" si="0"/>
        <v>516114</v>
      </c>
      <c r="E16" s="530">
        <v>338749</v>
      </c>
      <c r="F16" s="1643">
        <f t="shared" si="1"/>
        <v>159613</v>
      </c>
    </row>
    <row r="17" spans="1:6" ht="13.7" customHeight="1" x14ac:dyDescent="0.2">
      <c r="A17" s="628" t="s">
        <v>1221</v>
      </c>
      <c r="B17" s="1640">
        <f>'Revenues 9-14'!C10</f>
        <v>0</v>
      </c>
      <c r="C17" s="530"/>
      <c r="D17" s="1643">
        <f t="shared" si="0"/>
        <v>0</v>
      </c>
      <c r="E17" s="530"/>
      <c r="F17" s="1643">
        <f t="shared" si="1"/>
        <v>0</v>
      </c>
    </row>
    <row r="18" spans="1:6" ht="13.7" customHeight="1" x14ac:dyDescent="0.2">
      <c r="A18" s="628" t="s">
        <v>785</v>
      </c>
      <c r="B18" s="1640">
        <f>SUM('Revenues 9-14'!C11:K11)</f>
        <v>0</v>
      </c>
      <c r="C18" s="530"/>
      <c r="D18" s="1643">
        <f t="shared" si="0"/>
        <v>0</v>
      </c>
      <c r="E18" s="530"/>
      <c r="F18" s="1643">
        <f t="shared" si="1"/>
        <v>0</v>
      </c>
    </row>
    <row r="19" spans="1:6" ht="13.7" customHeight="1" thickBot="1" x14ac:dyDescent="0.25">
      <c r="A19" s="1644" t="s">
        <v>1222</v>
      </c>
      <c r="B19" s="1641">
        <f>SUM(B4:B18)</f>
        <v>100741807</v>
      </c>
      <c r="C19" s="1641">
        <f>SUM(C4:C18)</f>
        <v>58891190</v>
      </c>
      <c r="D19" s="1641">
        <f>SUM(D4:D18)</f>
        <v>41850617</v>
      </c>
      <c r="E19" s="1641">
        <f>SUM(E4:E18)</f>
        <v>111364397</v>
      </c>
      <c r="F19" s="1641">
        <f>SUM(F4:F18)</f>
        <v>52473207</v>
      </c>
    </row>
    <row r="20" spans="1:6" ht="13.5" thickTop="1" x14ac:dyDescent="0.2">
      <c r="B20" s="626"/>
      <c r="F20" s="629"/>
    </row>
    <row r="21" spans="1:6" x14ac:dyDescent="0.2">
      <c r="A21" s="630" t="s">
        <v>1911</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FF0000"/>
    <pageSetUpPr fitToPage="1"/>
  </sheetPr>
  <dimension ref="A1:K59"/>
  <sheetViews>
    <sheetView showGridLines="0" defaultGridColor="0" topLeftCell="A22" colorId="8" zoomScale="81" zoomScaleNormal="81" workbookViewId="0">
      <selection activeCell="G40" sqref="G38:G40"/>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59" t="s">
        <v>649</v>
      </c>
      <c r="B1" s="2260"/>
      <c r="C1" s="634"/>
    </row>
    <row r="2" spans="1:7" ht="33.75" x14ac:dyDescent="0.2">
      <c r="A2" s="2268" t="s">
        <v>1901</v>
      </c>
      <c r="B2" s="2269"/>
      <c r="C2" s="1769" t="s">
        <v>2034</v>
      </c>
      <c r="D2" s="636" t="s">
        <v>2041</v>
      </c>
      <c r="E2" s="636" t="s">
        <v>2042</v>
      </c>
      <c r="F2" s="1769" t="s">
        <v>2035</v>
      </c>
    </row>
    <row r="3" spans="1:7" ht="15.75" customHeight="1" x14ac:dyDescent="0.2">
      <c r="A3" s="2272" t="s">
        <v>1175</v>
      </c>
      <c r="B3" s="2273"/>
      <c r="C3" s="2261"/>
      <c r="D3" s="2262"/>
      <c r="E3" s="2262"/>
      <c r="F3" s="2263"/>
    </row>
    <row r="4" spans="1:7" ht="12.75" customHeight="1" thickBot="1" x14ac:dyDescent="0.25">
      <c r="A4" s="2270" t="s">
        <v>650</v>
      </c>
      <c r="B4" s="2271"/>
      <c r="C4" s="528"/>
      <c r="D4" s="528"/>
      <c r="E4" s="528"/>
      <c r="F4" s="1645">
        <f>SUM(C4+D4)-E4</f>
        <v>0</v>
      </c>
    </row>
    <row r="5" spans="1:7" ht="15.75" customHeight="1" thickTop="1" x14ac:dyDescent="0.2">
      <c r="A5" s="2255" t="s">
        <v>1171</v>
      </c>
      <c r="B5" s="2256"/>
      <c r="C5" s="2264"/>
      <c r="D5" s="2265"/>
      <c r="E5" s="2265"/>
      <c r="F5" s="2266"/>
    </row>
    <row r="6" spans="1:7" ht="12.75" customHeight="1" thickBot="1" x14ac:dyDescent="0.25">
      <c r="A6" s="637" t="s">
        <v>66</v>
      </c>
      <c r="B6" s="638"/>
      <c r="C6" s="639"/>
      <c r="D6" s="530"/>
      <c r="E6" s="639"/>
      <c r="F6" s="1645">
        <f t="shared" ref="F6:F14" si="0">SUM(C6+D6)-E6</f>
        <v>0</v>
      </c>
    </row>
    <row r="7" spans="1:7" ht="12.75" customHeight="1" thickTop="1" thickBot="1" x14ac:dyDescent="0.25">
      <c r="A7" s="637" t="s">
        <v>6</v>
      </c>
      <c r="B7" s="638"/>
      <c r="C7" s="639"/>
      <c r="D7" s="530"/>
      <c r="E7" s="639"/>
      <c r="F7" s="1645">
        <f t="shared" si="0"/>
        <v>0</v>
      </c>
    </row>
    <row r="8" spans="1:7" ht="12.75" customHeight="1" thickTop="1" thickBot="1" x14ac:dyDescent="0.25">
      <c r="A8" s="637" t="s">
        <v>528</v>
      </c>
      <c r="B8" s="638"/>
      <c r="C8" s="639"/>
      <c r="D8" s="530"/>
      <c r="E8" s="639"/>
      <c r="F8" s="1645">
        <f t="shared" si="0"/>
        <v>0</v>
      </c>
    </row>
    <row r="9" spans="1:7" ht="12.75" customHeight="1" thickTop="1" thickBot="1" x14ac:dyDescent="0.25">
      <c r="A9" s="637" t="s">
        <v>529</v>
      </c>
      <c r="B9" s="638"/>
      <c r="C9" s="639"/>
      <c r="D9" s="530"/>
      <c r="E9" s="639"/>
      <c r="F9" s="1645">
        <f t="shared" si="0"/>
        <v>0</v>
      </c>
    </row>
    <row r="10" spans="1:7" ht="12.75" customHeight="1" thickTop="1" thickBot="1" x14ac:dyDescent="0.25">
      <c r="A10" s="637" t="s">
        <v>530</v>
      </c>
      <c r="B10" s="638"/>
      <c r="C10" s="639"/>
      <c r="D10" s="530"/>
      <c r="E10" s="639"/>
      <c r="F10" s="1645">
        <f t="shared" si="0"/>
        <v>0</v>
      </c>
    </row>
    <row r="11" spans="1:7" ht="12.75" customHeight="1" thickTop="1" thickBot="1" x14ac:dyDescent="0.25">
      <c r="A11" s="637" t="s">
        <v>358</v>
      </c>
      <c r="B11" s="638"/>
      <c r="C11" s="639"/>
      <c r="D11" s="530"/>
      <c r="E11" s="639"/>
      <c r="F11" s="1645">
        <f t="shared" si="0"/>
        <v>0</v>
      </c>
    </row>
    <row r="12" spans="1:7" ht="12.75" customHeight="1" thickTop="1" thickBot="1" x14ac:dyDescent="0.25">
      <c r="A12" s="637" t="s">
        <v>1218</v>
      </c>
      <c r="B12" s="638"/>
      <c r="C12" s="639"/>
      <c r="D12" s="530"/>
      <c r="E12" s="639"/>
      <c r="F12" s="1645">
        <f t="shared" si="0"/>
        <v>0</v>
      </c>
    </row>
    <row r="13" spans="1:7" ht="12.75" customHeight="1" thickTop="1" thickBot="1" x14ac:dyDescent="0.25">
      <c r="A13" s="637" t="s">
        <v>405</v>
      </c>
      <c r="B13" s="638"/>
      <c r="C13" s="639"/>
      <c r="D13" s="530"/>
      <c r="E13" s="639"/>
      <c r="F13" s="1645">
        <f t="shared" si="0"/>
        <v>0</v>
      </c>
    </row>
    <row r="14" spans="1:7" ht="12.75" customHeight="1" thickTop="1" thickBot="1" x14ac:dyDescent="0.25">
      <c r="A14" s="637" t="s">
        <v>467</v>
      </c>
      <c r="B14" s="638"/>
      <c r="C14" s="639"/>
      <c r="D14" s="530"/>
      <c r="E14" s="639"/>
      <c r="F14" s="1645">
        <f t="shared" si="0"/>
        <v>0</v>
      </c>
    </row>
    <row r="15" spans="1:7" ht="14.25" thickTop="1" thickBot="1" x14ac:dyDescent="0.25">
      <c r="A15" s="2257" t="s">
        <v>651</v>
      </c>
      <c r="B15" s="2258"/>
      <c r="C15" s="1645">
        <f>SUM(C6:C14)</f>
        <v>0</v>
      </c>
      <c r="D15" s="1645">
        <f>SUM(D6:D14)</f>
        <v>0</v>
      </c>
      <c r="E15" s="1645">
        <f>SUM(E6:E14)</f>
        <v>0</v>
      </c>
      <c r="F15" s="1645">
        <f>SUM(F6:F14)</f>
        <v>0</v>
      </c>
      <c r="G15" s="516"/>
    </row>
    <row r="16" spans="1:7" s="198" customFormat="1" ht="15.75" customHeight="1" thickTop="1" x14ac:dyDescent="0.2">
      <c r="A16" s="2267" t="s">
        <v>1172</v>
      </c>
      <c r="B16" s="2256"/>
      <c r="C16" s="2264"/>
      <c r="D16" s="2265"/>
      <c r="E16" s="2265"/>
      <c r="F16" s="2266"/>
    </row>
    <row r="17" spans="1:11" ht="12.75" customHeight="1" thickBot="1" x14ac:dyDescent="0.25">
      <c r="A17" s="2280" t="s">
        <v>66</v>
      </c>
      <c r="B17" s="2281"/>
      <c r="C17" s="639"/>
      <c r="D17" s="530"/>
      <c r="E17" s="639"/>
      <c r="F17" s="1645">
        <f>SUM(C17+D17)-E17</f>
        <v>0</v>
      </c>
    </row>
    <row r="18" spans="1:11" ht="12.75" customHeight="1" thickTop="1" thickBot="1" x14ac:dyDescent="0.25">
      <c r="A18" s="2280" t="s">
        <v>6</v>
      </c>
      <c r="B18" s="2281"/>
      <c r="C18" s="639"/>
      <c r="D18" s="530"/>
      <c r="E18" s="639"/>
      <c r="F18" s="1645">
        <f>SUM(C18+D18)-E18</f>
        <v>0</v>
      </c>
    </row>
    <row r="19" spans="1:11" ht="12.75" customHeight="1" thickTop="1" thickBot="1" x14ac:dyDescent="0.25">
      <c r="A19" s="2280" t="s">
        <v>405</v>
      </c>
      <c r="B19" s="2281"/>
      <c r="C19" s="639"/>
      <c r="D19" s="530"/>
      <c r="E19" s="639"/>
      <c r="F19" s="1645">
        <f>SUM(C19+D19)-E19</f>
        <v>0</v>
      </c>
    </row>
    <row r="20" spans="1:11" ht="12.75" customHeight="1" thickTop="1" thickBot="1" x14ac:dyDescent="0.25">
      <c r="A20" s="2280" t="s">
        <v>467</v>
      </c>
      <c r="B20" s="2281"/>
      <c r="C20" s="639"/>
      <c r="D20" s="530"/>
      <c r="E20" s="639"/>
      <c r="F20" s="1645">
        <f>SUM(C20+D20)-E20</f>
        <v>0</v>
      </c>
    </row>
    <row r="21" spans="1:11" ht="14.25" thickTop="1" thickBot="1" x14ac:dyDescent="0.25">
      <c r="A21" s="2257" t="s">
        <v>652</v>
      </c>
      <c r="B21" s="2258"/>
      <c r="C21" s="1645">
        <f>SUM(C17:C20)</f>
        <v>0</v>
      </c>
      <c r="D21" s="1645">
        <f>SUM(D17:D20)</f>
        <v>0</v>
      </c>
      <c r="E21" s="1645">
        <f>SUM(E17:E20)</f>
        <v>0</v>
      </c>
      <c r="F21" s="1645">
        <f>SUM(F17:F20)</f>
        <v>0</v>
      </c>
      <c r="G21" s="516"/>
    </row>
    <row r="22" spans="1:11" ht="15.75" customHeight="1" thickTop="1" x14ac:dyDescent="0.2">
      <c r="A22" s="2282" t="s">
        <v>1173</v>
      </c>
      <c r="B22" s="2256"/>
      <c r="C22" s="2264"/>
      <c r="D22" s="2265"/>
      <c r="E22" s="2265"/>
      <c r="F22" s="2266"/>
    </row>
    <row r="23" spans="1:11" ht="13.5" thickBot="1" x14ac:dyDescent="0.25">
      <c r="A23" s="2270" t="s">
        <v>653</v>
      </c>
      <c r="B23" s="2271"/>
      <c r="C23" s="528"/>
      <c r="D23" s="528"/>
      <c r="E23" s="528"/>
      <c r="F23" s="1645">
        <f>SUM(C23+D23)-E23</f>
        <v>0</v>
      </c>
      <c r="G23" s="516"/>
    </row>
    <row r="24" spans="1:11" ht="15.75" customHeight="1" thickTop="1" x14ac:dyDescent="0.2">
      <c r="A24" s="2282" t="s">
        <v>1174</v>
      </c>
      <c r="B24" s="2256"/>
      <c r="C24" s="2264"/>
      <c r="D24" s="2265"/>
      <c r="E24" s="2265"/>
      <c r="F24" s="2266"/>
    </row>
    <row r="25" spans="1:11" ht="13.5" thickBot="1" x14ac:dyDescent="0.25">
      <c r="A25" s="2270" t="s">
        <v>654</v>
      </c>
      <c r="B25" s="2271"/>
      <c r="C25" s="528"/>
      <c r="D25" s="528"/>
      <c r="E25" s="528"/>
      <c r="F25" s="1645">
        <f>SUM(C25+D25)-E25</f>
        <v>0</v>
      </c>
      <c r="G25" s="516"/>
    </row>
    <row r="26" spans="1:11" ht="15.75" customHeight="1" thickTop="1" x14ac:dyDescent="0.2">
      <c r="A26" s="2255" t="s">
        <v>677</v>
      </c>
      <c r="B26" s="2256"/>
      <c r="C26" s="640"/>
      <c r="D26" s="640"/>
      <c r="E26" s="640"/>
      <c r="F26" s="641"/>
    </row>
    <row r="27" spans="1:11" ht="13.5" thickBot="1" x14ac:dyDescent="0.25">
      <c r="A27" s="2257" t="s">
        <v>1129</v>
      </c>
      <c r="B27" s="2258"/>
      <c r="C27" s="530"/>
      <c r="D27" s="530"/>
      <c r="E27" s="530"/>
      <c r="F27" s="1645">
        <f>SUM(C27+D27)-E27</f>
        <v>0</v>
      </c>
      <c r="G27" s="516"/>
    </row>
    <row r="28" spans="1:11" ht="7.5" customHeight="1" thickTop="1" x14ac:dyDescent="0.2">
      <c r="A28" s="534"/>
    </row>
    <row r="29" spans="1:11" ht="23.25" customHeight="1" x14ac:dyDescent="0.2">
      <c r="A29" s="2283" t="s">
        <v>602</v>
      </c>
      <c r="B29" s="2260"/>
      <c r="C29" s="642"/>
      <c r="D29" s="642"/>
      <c r="E29" s="642"/>
      <c r="F29" s="642"/>
      <c r="G29" s="642"/>
      <c r="H29" s="642"/>
      <c r="I29" s="642"/>
      <c r="J29" s="642"/>
    </row>
    <row r="30" spans="1:11" ht="33.75" x14ac:dyDescent="0.2">
      <c r="A30" s="1456" t="s">
        <v>1130</v>
      </c>
      <c r="B30" s="643" t="s">
        <v>1185</v>
      </c>
      <c r="C30" s="1770" t="s">
        <v>603</v>
      </c>
      <c r="D30" s="1770" t="s">
        <v>1771</v>
      </c>
      <c r="E30" s="1770" t="s">
        <v>2036</v>
      </c>
      <c r="F30" s="1770" t="s">
        <v>2037</v>
      </c>
      <c r="G30" s="1770" t="s">
        <v>2040</v>
      </c>
      <c r="H30" s="1770" t="s">
        <v>2038</v>
      </c>
      <c r="I30" s="1770" t="s">
        <v>2039</v>
      </c>
      <c r="J30" s="1771" t="s">
        <v>2</v>
      </c>
      <c r="K30" s="644"/>
    </row>
    <row r="31" spans="1:11" ht="12" customHeight="1" x14ac:dyDescent="0.2">
      <c r="A31" s="645" t="s">
        <v>2087</v>
      </c>
      <c r="B31" s="646">
        <v>41148</v>
      </c>
      <c r="C31" s="647">
        <v>9575000</v>
      </c>
      <c r="D31" s="648">
        <v>6</v>
      </c>
      <c r="E31" s="647">
        <v>7965000</v>
      </c>
      <c r="F31" s="647"/>
      <c r="G31" s="647"/>
      <c r="H31" s="647">
        <v>465000</v>
      </c>
      <c r="I31" s="1646">
        <f>((E31+F31)-H31)+G31</f>
        <v>7500000</v>
      </c>
      <c r="J31" s="647">
        <f>IF(I31=0,"",(I31/$I$49)*($I$49-'Acct Summary 7-8'!$E$81))</f>
        <v>7126903.2647596775</v>
      </c>
      <c r="K31" s="649"/>
    </row>
    <row r="32" spans="1:11" ht="12" customHeight="1" x14ac:dyDescent="0.2">
      <c r="A32" s="645" t="s">
        <v>2088</v>
      </c>
      <c r="B32" s="646">
        <v>41339</v>
      </c>
      <c r="C32" s="647">
        <v>2990000</v>
      </c>
      <c r="D32" s="648">
        <v>6</v>
      </c>
      <c r="E32" s="647">
        <v>1940000</v>
      </c>
      <c r="F32" s="647"/>
      <c r="G32" s="647"/>
      <c r="H32" s="647">
        <v>290000</v>
      </c>
      <c r="I32" s="1646">
        <f>((E32+F32)-H32)+G32</f>
        <v>1650000</v>
      </c>
      <c r="J32" s="647">
        <f>IF(I32=0,"",(I32/$I$49)*($I$49-'Acct Summary 7-8'!$E$81))</f>
        <v>1567918.7182471289</v>
      </c>
      <c r="K32" s="649"/>
    </row>
    <row r="33" spans="1:11" ht="12" customHeight="1" x14ac:dyDescent="0.2">
      <c r="A33" s="645" t="s">
        <v>2098</v>
      </c>
      <c r="B33" s="646">
        <v>43075</v>
      </c>
      <c r="C33" s="647">
        <v>110000000</v>
      </c>
      <c r="D33" s="648">
        <v>6</v>
      </c>
      <c r="E33" s="647"/>
      <c r="F33" s="647">
        <v>110000000</v>
      </c>
      <c r="G33" s="647"/>
      <c r="H33" s="647"/>
      <c r="I33" s="1646">
        <f t="shared" ref="I33:I48" si="1">((E33+F33)-H33)+G33</f>
        <v>110000000</v>
      </c>
      <c r="J33" s="647">
        <f>IF(I33=0,"",(I33/$I$49)*($I$49-'Acct Summary 7-8'!$E$81))</f>
        <v>104527914.54980858</v>
      </c>
      <c r="K33" s="649"/>
    </row>
    <row r="34" spans="1:11" ht="12" customHeight="1" x14ac:dyDescent="0.2">
      <c r="A34" s="645" t="s">
        <v>2089</v>
      </c>
      <c r="B34" s="646">
        <v>40227</v>
      </c>
      <c r="C34" s="647">
        <v>2862815</v>
      </c>
      <c r="D34" s="648">
        <v>2</v>
      </c>
      <c r="E34" s="647">
        <v>3990352</v>
      </c>
      <c r="F34" s="647"/>
      <c r="G34" s="647">
        <v>186111</v>
      </c>
      <c r="H34" s="647"/>
      <c r="I34" s="1646">
        <f t="shared" si="1"/>
        <v>4176463</v>
      </c>
      <c r="J34" s="647">
        <f>IF(I34=0,"",(I34/$I$49)*($I$49-'Acct Summary 7-8'!$E$81))</f>
        <v>3968699.7053130656</v>
      </c>
      <c r="K34" s="650"/>
    </row>
    <row r="35" spans="1:11" ht="12" customHeight="1" x14ac:dyDescent="0.2">
      <c r="A35" s="645" t="s">
        <v>2090</v>
      </c>
      <c r="B35" s="646">
        <v>40227</v>
      </c>
      <c r="C35" s="651">
        <v>49790000</v>
      </c>
      <c r="D35" s="648">
        <v>2</v>
      </c>
      <c r="E35" s="651">
        <v>49790000</v>
      </c>
      <c r="F35" s="651"/>
      <c r="G35" s="651"/>
      <c r="H35" s="651"/>
      <c r="I35" s="1646">
        <f t="shared" si="1"/>
        <v>49790000</v>
      </c>
      <c r="J35" s="651">
        <f>IF(I35=0,"",(I35/$I$49)*($I$49-'Acct Summary 7-8'!$E$81))</f>
        <v>47313135.140317909</v>
      </c>
      <c r="K35" s="650"/>
    </row>
    <row r="36" spans="1:11" ht="12" customHeight="1" x14ac:dyDescent="0.2">
      <c r="A36" s="645" t="s">
        <v>2091</v>
      </c>
      <c r="B36" s="646">
        <v>40227</v>
      </c>
      <c r="C36" s="647">
        <v>113380280</v>
      </c>
      <c r="D36" s="648">
        <v>2</v>
      </c>
      <c r="E36" s="647">
        <v>15488669</v>
      </c>
      <c r="F36" s="647"/>
      <c r="G36" s="647">
        <v>669470</v>
      </c>
      <c r="H36" s="647">
        <v>3325000</v>
      </c>
      <c r="I36" s="1646">
        <f t="shared" si="1"/>
        <v>12833139</v>
      </c>
      <c r="J36" s="647">
        <f>IF(I36=0,"",(I36/$I$49)*($I$49-'Acct Summary 7-8'!$E$81))</f>
        <v>12194738.698161963</v>
      </c>
      <c r="K36" s="652"/>
    </row>
    <row r="37" spans="1:11" ht="12" customHeight="1" x14ac:dyDescent="0.2">
      <c r="A37" s="645" t="s">
        <v>2092</v>
      </c>
      <c r="B37" s="646">
        <v>40227</v>
      </c>
      <c r="C37" s="462">
        <v>22725000</v>
      </c>
      <c r="D37" s="653">
        <v>2</v>
      </c>
      <c r="E37" s="462">
        <v>20140000</v>
      </c>
      <c r="F37" s="462"/>
      <c r="G37" s="462"/>
      <c r="H37" s="462"/>
      <c r="I37" s="1646">
        <f t="shared" si="1"/>
        <v>20140000</v>
      </c>
      <c r="J37" s="462">
        <f>IF(I37=0,"",(I37/$I$49)*($I$49-'Acct Summary 7-8'!$E$81))</f>
        <v>19138110.900301319</v>
      </c>
      <c r="K37" s="650"/>
    </row>
    <row r="38" spans="1:11" ht="12" customHeight="1" x14ac:dyDescent="0.2">
      <c r="A38" s="645" t="s">
        <v>2093</v>
      </c>
      <c r="B38" s="646">
        <v>43143</v>
      </c>
      <c r="C38" s="647">
        <v>2720000</v>
      </c>
      <c r="D38" s="654">
        <v>7</v>
      </c>
      <c r="E38" s="655"/>
      <c r="F38" s="655"/>
      <c r="G38" s="655">
        <v>2720000</v>
      </c>
      <c r="H38" s="655">
        <v>21212</v>
      </c>
      <c r="I38" s="1646">
        <f t="shared" si="1"/>
        <v>2698788</v>
      </c>
      <c r="J38" s="656">
        <f>IF(I38=0,"",(I38/$I$49)*($I$49-'Acct Summary 7-8'!$E$81))</f>
        <v>2564533.4677458983</v>
      </c>
      <c r="K38" s="657"/>
    </row>
    <row r="39" spans="1:11" ht="12" customHeight="1" x14ac:dyDescent="0.2">
      <c r="A39" s="645" t="s">
        <v>2094</v>
      </c>
      <c r="B39" s="646">
        <v>43009</v>
      </c>
      <c r="C39" s="647">
        <v>397885</v>
      </c>
      <c r="D39" s="654">
        <v>7</v>
      </c>
      <c r="E39" s="655"/>
      <c r="F39" s="655"/>
      <c r="G39" s="655">
        <v>314982</v>
      </c>
      <c r="H39" s="655"/>
      <c r="I39" s="1646">
        <f t="shared" si="1"/>
        <v>314982</v>
      </c>
      <c r="J39" s="656">
        <f>IF(I39=0,"",(I39/$I$49)*($I$49-'Acct Summary 7-8'!$E$81))</f>
        <v>299312.83255207096</v>
      </c>
      <c r="K39" s="657"/>
    </row>
    <row r="40" spans="1:11" ht="12" customHeight="1" x14ac:dyDescent="0.2">
      <c r="A40" s="645" t="s">
        <v>2099</v>
      </c>
      <c r="B40" s="646">
        <v>43262</v>
      </c>
      <c r="C40" s="647">
        <v>821108</v>
      </c>
      <c r="D40" s="654">
        <v>7</v>
      </c>
      <c r="E40" s="655"/>
      <c r="F40" s="655"/>
      <c r="G40" s="655">
        <v>821108</v>
      </c>
      <c r="H40" s="655">
        <v>108426</v>
      </c>
      <c r="I40" s="1646">
        <f t="shared" si="1"/>
        <v>712682</v>
      </c>
      <c r="J40" s="656">
        <f>IF(I40=0,"",(I40/$I$49)*($I$49-'Acct Summary 7-8'!$E$81))</f>
        <v>677228.75633806083</v>
      </c>
      <c r="K40" s="657"/>
    </row>
    <row r="41" spans="1:11" ht="12" customHeight="1" x14ac:dyDescent="0.2">
      <c r="A41" s="645" t="s">
        <v>2100</v>
      </c>
      <c r="B41" s="646">
        <v>42891</v>
      </c>
      <c r="C41" s="647">
        <v>825252</v>
      </c>
      <c r="D41" s="654">
        <v>7</v>
      </c>
      <c r="E41" s="655">
        <v>717902</v>
      </c>
      <c r="F41" s="655"/>
      <c r="G41" s="655"/>
      <c r="H41" s="655">
        <v>199261</v>
      </c>
      <c r="I41" s="1646">
        <f t="shared" si="1"/>
        <v>518641</v>
      </c>
      <c r="J41" s="656">
        <f>IF(I41=0,"",(I41/$I$49)*($I$49-'Acct Summary 7-8'!$E$81))</f>
        <v>492840.56481842982</v>
      </c>
      <c r="K41" s="657"/>
    </row>
    <row r="42" spans="1:11" ht="12" customHeight="1" x14ac:dyDescent="0.2">
      <c r="A42" s="645" t="s">
        <v>2101</v>
      </c>
      <c r="B42" s="646">
        <v>42690</v>
      </c>
      <c r="C42" s="647">
        <v>219022</v>
      </c>
      <c r="D42" s="654">
        <v>7</v>
      </c>
      <c r="E42" s="655">
        <v>175179</v>
      </c>
      <c r="F42" s="655"/>
      <c r="G42" s="655">
        <v>-42215</v>
      </c>
      <c r="H42" s="655"/>
      <c r="I42" s="1646">
        <f t="shared" si="1"/>
        <v>132964</v>
      </c>
      <c r="J42" s="656">
        <f>IF(I42=0,"",(I42/$I$49)*($I$49-'Acct Summary 7-8'!$E$81))</f>
        <v>126349.54209273407</v>
      </c>
      <c r="K42" s="657"/>
    </row>
    <row r="43" spans="1:11" ht="12" customHeight="1" x14ac:dyDescent="0.2">
      <c r="A43" s="645" t="s">
        <v>2102</v>
      </c>
      <c r="B43" s="646">
        <v>42567</v>
      </c>
      <c r="C43" s="647">
        <v>920737</v>
      </c>
      <c r="D43" s="654">
        <v>7</v>
      </c>
      <c r="E43" s="655">
        <v>690477</v>
      </c>
      <c r="F43" s="655"/>
      <c r="G43" s="655"/>
      <c r="H43" s="655">
        <v>225707</v>
      </c>
      <c r="I43" s="1646">
        <f t="shared" si="1"/>
        <v>464770</v>
      </c>
      <c r="J43" s="656">
        <f>IF(I43=0,"",(I43/$I$49)*($I$49-'Acct Summary 7-8'!$E$81))</f>
        <v>441649.44404831395</v>
      </c>
      <c r="K43" s="657"/>
    </row>
    <row r="44" spans="1:11" ht="12" customHeight="1" x14ac:dyDescent="0.2">
      <c r="A44" s="645" t="s">
        <v>2095</v>
      </c>
      <c r="B44" s="646">
        <v>42485</v>
      </c>
      <c r="C44" s="647">
        <v>119290</v>
      </c>
      <c r="D44" s="648">
        <v>7</v>
      </c>
      <c r="E44" s="647">
        <v>83972</v>
      </c>
      <c r="F44" s="647"/>
      <c r="G44" s="647">
        <v>-23290</v>
      </c>
      <c r="H44" s="647"/>
      <c r="I44" s="1646">
        <f t="shared" si="1"/>
        <v>60682</v>
      </c>
      <c r="J44" s="647">
        <f>IF(I44=0,"",(I44/$I$49)*($I$49-'Acct Summary 7-8'!$E$81))</f>
        <v>57663.299188286233</v>
      </c>
      <c r="K44" s="650"/>
    </row>
    <row r="45" spans="1:11" ht="12" customHeight="1" x14ac:dyDescent="0.2">
      <c r="A45" s="645" t="s">
        <v>2104</v>
      </c>
      <c r="B45" s="646">
        <v>42352</v>
      </c>
      <c r="C45" s="647">
        <f>453650+257850</f>
        <v>711500</v>
      </c>
      <c r="D45" s="648">
        <v>7</v>
      </c>
      <c r="E45" s="647">
        <f>229157+130250</f>
        <v>359407</v>
      </c>
      <c r="F45" s="647"/>
      <c r="G45" s="647"/>
      <c r="H45" s="647">
        <f>113382+64445</f>
        <v>177827</v>
      </c>
      <c r="I45" s="1646">
        <f t="shared" si="1"/>
        <v>181580</v>
      </c>
      <c r="J45" s="647">
        <f>IF(I45=0,"",(I45/$I$49)*($I$49-'Acct Summary 7-8'!$E$81))</f>
        <v>172547.07930867496</v>
      </c>
      <c r="K45" s="650"/>
    </row>
    <row r="46" spans="1:11" ht="12" customHeight="1" x14ac:dyDescent="0.2">
      <c r="A46" s="645" t="s">
        <v>2096</v>
      </c>
      <c r="B46" s="646">
        <v>42093</v>
      </c>
      <c r="C46" s="647">
        <v>314643</v>
      </c>
      <c r="D46" s="648">
        <v>7</v>
      </c>
      <c r="E46" s="647">
        <v>159808</v>
      </c>
      <c r="F46" s="647"/>
      <c r="G46" s="647">
        <v>-62900</v>
      </c>
      <c r="H46" s="647"/>
      <c r="I46" s="1646">
        <f t="shared" si="1"/>
        <v>96908</v>
      </c>
      <c r="J46" s="647">
        <f>IF(I46=0,"",(I46/$I$49)*($I$49-'Acct Summary 7-8'!$E$81))</f>
        <v>92087.192210844107</v>
      </c>
      <c r="K46" s="650"/>
    </row>
    <row r="47" spans="1:11" ht="12" customHeight="1" x14ac:dyDescent="0.2">
      <c r="A47" s="645" t="s">
        <v>2097</v>
      </c>
      <c r="B47" s="646">
        <v>42121</v>
      </c>
      <c r="C47" s="651">
        <v>786509</v>
      </c>
      <c r="D47" s="648">
        <v>7</v>
      </c>
      <c r="E47" s="651">
        <v>399328</v>
      </c>
      <c r="F47" s="651"/>
      <c r="G47" s="651">
        <v>-157233</v>
      </c>
      <c r="H47" s="651"/>
      <c r="I47" s="1646">
        <f t="shared" si="1"/>
        <v>242095</v>
      </c>
      <c r="J47" s="651">
        <f>IF(I47=0,"",(I47/$I$49)*($I$49-'Acct Summary 7-8'!$E$81))</f>
        <v>230051.68611759919</v>
      </c>
      <c r="K47" s="650"/>
    </row>
    <row r="48" spans="1:11" ht="12" customHeight="1" x14ac:dyDescent="0.2">
      <c r="A48" s="645" t="s">
        <v>2105</v>
      </c>
      <c r="B48" s="646" t="s">
        <v>2106</v>
      </c>
      <c r="C48" s="647">
        <f>312530+179964</f>
        <v>492494</v>
      </c>
      <c r="D48" s="648">
        <v>7</v>
      </c>
      <c r="E48" s="647">
        <f>64021+55593</f>
        <v>119614</v>
      </c>
      <c r="F48" s="647"/>
      <c r="G48" s="647">
        <v>-100862</v>
      </c>
      <c r="H48" s="647"/>
      <c r="I48" s="1646">
        <f t="shared" si="1"/>
        <v>18752</v>
      </c>
      <c r="J48" s="647">
        <f>IF(I48=0,"",(I48/$I$49)*($I$49-'Acct Summary 7-8'!$E$81))</f>
        <v>17819.158669436463</v>
      </c>
      <c r="K48" s="650"/>
    </row>
    <row r="49" spans="1:11" ht="12" customHeight="1" x14ac:dyDescent="0.2">
      <c r="A49" s="645"/>
      <c r="B49" s="646"/>
      <c r="C49" s="1646">
        <f>SUM(C31:C48)</f>
        <v>319651535</v>
      </c>
      <c r="D49" s="658"/>
      <c r="E49" s="1646">
        <f t="shared" ref="E49:J49" si="2">SUM(E31:E48)</f>
        <v>102019708</v>
      </c>
      <c r="F49" s="1646">
        <f t="shared" si="2"/>
        <v>110000000</v>
      </c>
      <c r="G49" s="1646">
        <f t="shared" si="2"/>
        <v>4325171</v>
      </c>
      <c r="H49" s="1646">
        <f t="shared" si="2"/>
        <v>4812433</v>
      </c>
      <c r="I49" s="1646">
        <f t="shared" si="2"/>
        <v>211532446</v>
      </c>
      <c r="J49" s="1646">
        <f t="shared" si="2"/>
        <v>201009504.00000003</v>
      </c>
      <c r="K49" s="650"/>
    </row>
    <row r="50" spans="1:11" ht="6" customHeight="1" x14ac:dyDescent="0.2">
      <c r="A50" s="659"/>
      <c r="B50" s="649"/>
      <c r="C50" s="649"/>
      <c r="D50" s="649"/>
      <c r="E50" s="649"/>
      <c r="F50" s="649"/>
      <c r="G50" s="649"/>
      <c r="H50" s="649"/>
      <c r="I50" s="649"/>
      <c r="J50" s="659"/>
    </row>
    <row r="51" spans="1:11" x14ac:dyDescent="0.2">
      <c r="A51" s="660" t="s">
        <v>1910</v>
      </c>
      <c r="B51" s="659"/>
      <c r="C51" s="650"/>
      <c r="D51" s="650"/>
      <c r="E51" s="650"/>
      <c r="F51" s="650"/>
      <c r="G51" s="650"/>
      <c r="H51" s="649"/>
      <c r="I51" s="649"/>
      <c r="J51" s="659"/>
    </row>
    <row r="52" spans="1:11" ht="11.25" customHeight="1" x14ac:dyDescent="0.2">
      <c r="A52" s="661" t="s">
        <v>967</v>
      </c>
      <c r="B52" s="2274" t="s">
        <v>604</v>
      </c>
      <c r="C52" s="2275"/>
      <c r="D52" s="2275"/>
      <c r="E52" s="662" t="s">
        <v>899</v>
      </c>
      <c r="F52" s="2276" t="s">
        <v>2103</v>
      </c>
      <c r="G52" s="2277"/>
      <c r="H52" s="649"/>
      <c r="I52" s="649"/>
      <c r="J52" s="659"/>
    </row>
    <row r="53" spans="1:11" ht="11.25" customHeight="1" x14ac:dyDescent="0.2">
      <c r="A53" s="663" t="s">
        <v>968</v>
      </c>
      <c r="B53" s="664" t="s">
        <v>1007</v>
      </c>
      <c r="C53" s="659"/>
      <c r="D53" s="650"/>
      <c r="E53" s="662" t="s">
        <v>517</v>
      </c>
      <c r="F53" s="2278"/>
      <c r="G53" s="2279"/>
      <c r="H53" s="649"/>
      <c r="I53" s="649"/>
      <c r="J53" s="659"/>
    </row>
    <row r="54" spans="1:11" ht="11.25" customHeight="1" x14ac:dyDescent="0.2">
      <c r="A54" s="665" t="s">
        <v>969</v>
      </c>
      <c r="B54" s="660" t="s">
        <v>1008</v>
      </c>
      <c r="C54" s="659"/>
      <c r="D54" s="650"/>
      <c r="E54" s="662" t="s">
        <v>518</v>
      </c>
      <c r="F54" s="2278"/>
      <c r="G54" s="2279"/>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tabColor rgb="FFFF0000"/>
  </sheetPr>
  <dimension ref="A1:K48"/>
  <sheetViews>
    <sheetView showGridLines="0" defaultGridColor="0" colorId="8" zoomScale="110" zoomScaleNormal="110" workbookViewId="0">
      <selection activeCell="G11" sqref="G11"/>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308" t="s">
        <v>910</v>
      </c>
      <c r="B1" s="2309"/>
      <c r="C1" s="2309"/>
      <c r="D1" s="2309"/>
      <c r="E1" s="2309"/>
      <c r="F1" s="2309"/>
      <c r="G1" s="2310"/>
      <c r="H1" s="1457"/>
      <c r="I1" s="673"/>
      <c r="J1" s="429"/>
    </row>
    <row r="2" spans="1:11" ht="26.25" x14ac:dyDescent="0.2">
      <c r="A2" s="2287" t="s">
        <v>1775</v>
      </c>
      <c r="B2" s="2288"/>
      <c r="C2" s="2288"/>
      <c r="D2" s="2288"/>
      <c r="E2" s="2289"/>
      <c r="F2" s="674" t="s">
        <v>959</v>
      </c>
      <c r="G2" s="675" t="s">
        <v>1772</v>
      </c>
      <c r="H2" s="675" t="s">
        <v>429</v>
      </c>
      <c r="I2" s="675" t="s">
        <v>1219</v>
      </c>
      <c r="J2" s="675" t="s">
        <v>1915</v>
      </c>
      <c r="K2" s="675" t="s">
        <v>140</v>
      </c>
    </row>
    <row r="3" spans="1:11" x14ac:dyDescent="0.2">
      <c r="A3" s="2290" t="s">
        <v>1697</v>
      </c>
      <c r="B3" s="2291"/>
      <c r="C3" s="2291"/>
      <c r="D3" s="2291"/>
      <c r="E3" s="2292"/>
      <c r="F3" s="676"/>
      <c r="G3" s="677"/>
      <c r="H3" s="677"/>
      <c r="I3" s="677"/>
      <c r="J3" s="678"/>
      <c r="K3" s="678"/>
    </row>
    <row r="4" spans="1:11" x14ac:dyDescent="0.2">
      <c r="A4" s="2293" t="s">
        <v>386</v>
      </c>
      <c r="B4" s="2294"/>
      <c r="C4" s="2294"/>
      <c r="D4" s="2294"/>
      <c r="E4" s="2275"/>
      <c r="F4" s="679"/>
      <c r="G4" s="680"/>
      <c r="H4" s="681"/>
      <c r="I4" s="680"/>
      <c r="J4" s="682"/>
      <c r="K4" s="682"/>
    </row>
    <row r="5" spans="1:11" x14ac:dyDescent="0.2">
      <c r="A5" s="2311" t="s">
        <v>1128</v>
      </c>
      <c r="B5" s="2284"/>
      <c r="C5" s="2284"/>
      <c r="D5" s="2284"/>
      <c r="E5" s="2312"/>
      <c r="F5" s="683" t="s">
        <v>902</v>
      </c>
      <c r="G5" s="684"/>
      <c r="H5" s="677">
        <f>SUM('Revenues 9-14'!C7:K7)</f>
        <v>1612258</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f>'Revenues 9-14'!C101</f>
        <v>33050</v>
      </c>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f>'Revenues 9-14'!C147+'Revenues 9-14'!D147</f>
        <v>81164</v>
      </c>
    </row>
    <row r="10" spans="1:11" x14ac:dyDescent="0.2">
      <c r="A10" s="2311" t="s">
        <v>1916</v>
      </c>
      <c r="B10" s="2284"/>
      <c r="C10" s="2284"/>
      <c r="D10" s="2284"/>
      <c r="E10" s="2313"/>
      <c r="F10" s="696" t="s">
        <v>916</v>
      </c>
      <c r="G10" s="695"/>
      <c r="H10" s="697"/>
      <c r="I10" s="677"/>
      <c r="J10" s="678"/>
      <c r="K10" s="678"/>
    </row>
    <row r="11" spans="1:11" x14ac:dyDescent="0.2">
      <c r="A11" s="2311" t="s">
        <v>162</v>
      </c>
      <c r="B11" s="2284"/>
      <c r="C11" s="2284"/>
      <c r="D11" s="2284"/>
      <c r="E11" s="2312"/>
      <c r="F11" s="683" t="s">
        <v>906</v>
      </c>
      <c r="G11" s="684"/>
      <c r="H11" s="677"/>
      <c r="I11" s="677"/>
      <c r="J11" s="678"/>
      <c r="K11" s="686"/>
    </row>
    <row r="12" spans="1:11" ht="13.5" thickBot="1" x14ac:dyDescent="0.25">
      <c r="A12" s="2301" t="s">
        <v>960</v>
      </c>
      <c r="B12" s="2302"/>
      <c r="C12" s="2302"/>
      <c r="D12" s="2302"/>
      <c r="E12" s="2303"/>
      <c r="F12" s="1647"/>
      <c r="G12" s="1648">
        <f>SUM(G5:G11)</f>
        <v>0</v>
      </c>
      <c r="H12" s="1648">
        <f>SUM(H5:H11)</f>
        <v>1612258</v>
      </c>
      <c r="I12" s="1648">
        <f>SUM(I5:I11)</f>
        <v>0</v>
      </c>
      <c r="J12" s="1648">
        <f>SUM(J5:J11)</f>
        <v>0</v>
      </c>
      <c r="K12" s="1648">
        <f>SUM(K5:K11)</f>
        <v>114214</v>
      </c>
    </row>
    <row r="13" spans="1:11" ht="13.5" thickTop="1" x14ac:dyDescent="0.2">
      <c r="A13" s="2295" t="s">
        <v>387</v>
      </c>
      <c r="B13" s="2296"/>
      <c r="C13" s="2296"/>
      <c r="D13" s="2296"/>
      <c r="E13" s="2297"/>
      <c r="F13" s="698"/>
      <c r="G13" s="699"/>
      <c r="H13" s="700"/>
      <c r="I13" s="701"/>
      <c r="J13" s="701"/>
      <c r="K13" s="701"/>
    </row>
    <row r="14" spans="1:11" x14ac:dyDescent="0.2">
      <c r="A14" s="2317" t="s">
        <v>475</v>
      </c>
      <c r="B14" s="2317"/>
      <c r="C14" s="2317"/>
      <c r="D14" s="2317"/>
      <c r="E14" s="2318"/>
      <c r="F14" s="702" t="s">
        <v>908</v>
      </c>
      <c r="G14" s="695"/>
      <c r="H14" s="677">
        <f>H5</f>
        <v>1612258</v>
      </c>
      <c r="I14" s="684"/>
      <c r="J14" s="686"/>
      <c r="K14" s="678">
        <f>K12</f>
        <v>114214</v>
      </c>
    </row>
    <row r="15" spans="1:11" x14ac:dyDescent="0.2">
      <c r="A15" s="2284" t="s">
        <v>4</v>
      </c>
      <c r="B15" s="2284"/>
      <c r="C15" s="2284"/>
      <c r="D15" s="2284"/>
      <c r="E15" s="2312"/>
      <c r="F15" s="702" t="s">
        <v>909</v>
      </c>
      <c r="G15" s="684"/>
      <c r="H15" s="677"/>
      <c r="I15" s="677"/>
      <c r="J15" s="678"/>
      <c r="K15" s="678"/>
    </row>
    <row r="16" spans="1:11" x14ac:dyDescent="0.2">
      <c r="A16" s="2284" t="s">
        <v>315</v>
      </c>
      <c r="B16" s="2284"/>
      <c r="C16" s="2284"/>
      <c r="D16" s="2284"/>
      <c r="E16" s="2312"/>
      <c r="F16" s="702" t="s">
        <v>979</v>
      </c>
      <c r="G16" s="685"/>
      <c r="H16" s="680"/>
      <c r="I16" s="680"/>
      <c r="J16" s="682"/>
      <c r="K16" s="682"/>
    </row>
    <row r="17" spans="1:11" x14ac:dyDescent="0.2">
      <c r="A17" s="2306" t="s">
        <v>991</v>
      </c>
      <c r="B17" s="2306"/>
      <c r="C17" s="2306"/>
      <c r="D17" s="2306"/>
      <c r="E17" s="2307"/>
      <c r="F17" s="703"/>
      <c r="G17" s="704"/>
      <c r="H17" s="705"/>
      <c r="I17" s="705"/>
      <c r="J17" s="706"/>
      <c r="K17" s="707"/>
    </row>
    <row r="18" spans="1:11" x14ac:dyDescent="0.2">
      <c r="A18" s="2298" t="s">
        <v>385</v>
      </c>
      <c r="B18" s="2299"/>
      <c r="C18" s="2299"/>
      <c r="D18" s="2299"/>
      <c r="E18" s="2300"/>
      <c r="F18" s="702" t="s">
        <v>988</v>
      </c>
      <c r="G18" s="695"/>
      <c r="H18" s="695"/>
      <c r="I18" s="695"/>
      <c r="J18" s="678"/>
      <c r="K18" s="708"/>
    </row>
    <row r="19" spans="1:11" ht="21.75" customHeight="1" x14ac:dyDescent="0.2">
      <c r="A19" s="2319" t="s">
        <v>1912</v>
      </c>
      <c r="B19" s="2319"/>
      <c r="C19" s="2319"/>
      <c r="D19" s="2319"/>
      <c r="E19" s="2320"/>
      <c r="F19" s="702" t="s">
        <v>989</v>
      </c>
      <c r="G19" s="695"/>
      <c r="H19" s="695"/>
      <c r="I19" s="695"/>
      <c r="J19" s="678"/>
      <c r="K19" s="708"/>
    </row>
    <row r="20" spans="1:11" x14ac:dyDescent="0.2">
      <c r="A20" s="2298" t="s">
        <v>1917</v>
      </c>
      <c r="B20" s="2299"/>
      <c r="C20" s="2299"/>
      <c r="D20" s="2299"/>
      <c r="E20" s="2300"/>
      <c r="F20" s="702" t="s">
        <v>990</v>
      </c>
      <c r="G20" s="695"/>
      <c r="H20" s="695"/>
      <c r="I20" s="695"/>
      <c r="J20" s="678"/>
      <c r="K20" s="708"/>
    </row>
    <row r="21" spans="1:11" ht="13.5" thickBot="1" x14ac:dyDescent="0.25">
      <c r="A21" s="2304" t="s">
        <v>658</v>
      </c>
      <c r="B21" s="2304"/>
      <c r="C21" s="2304"/>
      <c r="D21" s="2304"/>
      <c r="E21" s="2304"/>
      <c r="F21" s="1649"/>
      <c r="G21" s="705"/>
      <c r="H21" s="709"/>
      <c r="I21" s="709"/>
      <c r="J21" s="1650">
        <f>SUM(J18:J20)</f>
        <v>0</v>
      </c>
      <c r="K21" s="706"/>
    </row>
    <row r="22" spans="1:11" ht="13.5" thickTop="1" x14ac:dyDescent="0.2">
      <c r="A22" s="2284" t="s">
        <v>1918</v>
      </c>
      <c r="B22" s="2284"/>
      <c r="C22" s="2284"/>
      <c r="D22" s="2284"/>
      <c r="E22" s="2312"/>
      <c r="F22" s="702" t="s">
        <v>916</v>
      </c>
      <c r="G22" s="695"/>
      <c r="H22" s="677"/>
      <c r="I22" s="677"/>
      <c r="J22" s="710"/>
      <c r="K22" s="678"/>
    </row>
    <row r="23" spans="1:11" ht="13.5" thickBot="1" x14ac:dyDescent="0.25">
      <c r="A23" s="2305" t="s">
        <v>961</v>
      </c>
      <c r="B23" s="2304"/>
      <c r="C23" s="2304"/>
      <c r="D23" s="2304"/>
      <c r="E23" s="2304"/>
      <c r="F23" s="1651"/>
      <c r="G23" s="1648">
        <f>SUM(G14:G16,G21,G22)</f>
        <v>0</v>
      </c>
      <c r="H23" s="1648">
        <f>SUM(H14:H16,H21,H22)</f>
        <v>1612258</v>
      </c>
      <c r="I23" s="1648">
        <f>SUM(I14:I16,I21,I22)</f>
        <v>0</v>
      </c>
      <c r="J23" s="1648">
        <f>SUM(J14:J16,J21,J22)</f>
        <v>0</v>
      </c>
      <c r="K23" s="1648">
        <f>SUM(K14:K16,K21,K22)</f>
        <v>114214</v>
      </c>
    </row>
    <row r="24" spans="1:11" ht="14.25" thickTop="1" thickBot="1" x14ac:dyDescent="0.25">
      <c r="A24" s="2305" t="s">
        <v>2022</v>
      </c>
      <c r="B24" s="2304"/>
      <c r="C24" s="2304"/>
      <c r="D24" s="2304"/>
      <c r="E24" s="2304"/>
      <c r="F24" s="1652"/>
      <c r="G24" s="1653">
        <f>SUM(G3,G12)-G23</f>
        <v>0</v>
      </c>
      <c r="H24" s="1653">
        <f>SUM(H3,H12)-H23</f>
        <v>0</v>
      </c>
      <c r="I24" s="1653">
        <f>SUM(I3,I12)-I23</f>
        <v>0</v>
      </c>
      <c r="J24" s="1653">
        <f>SUM(J3,J12)-J23</f>
        <v>0</v>
      </c>
      <c r="K24" s="1653">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48">
        <f>G24-G25</f>
        <v>0</v>
      </c>
      <c r="H26" s="1648">
        <f>H24-H25</f>
        <v>0</v>
      </c>
      <c r="I26" s="1648">
        <f>I24-I25</f>
        <v>0</v>
      </c>
      <c r="J26" s="1648">
        <f>J24-J25</f>
        <v>0</v>
      </c>
      <c r="K26" s="1648">
        <f>K24-K25</f>
        <v>0</v>
      </c>
    </row>
    <row r="27" spans="1:11" ht="5.25" customHeight="1" thickTop="1" x14ac:dyDescent="0.2">
      <c r="I27" s="198"/>
      <c r="J27" s="198"/>
    </row>
    <row r="28" spans="1:11" ht="29.25" customHeight="1" x14ac:dyDescent="0.2">
      <c r="A28" s="1765" t="s">
        <v>2032</v>
      </c>
      <c r="B28" s="1766"/>
      <c r="C28" s="1766"/>
      <c r="D28" s="1766"/>
      <c r="E28" s="1767"/>
      <c r="F28" s="716"/>
      <c r="G28" s="717"/>
    </row>
    <row r="29" spans="1:11" x14ac:dyDescent="0.2">
      <c r="B29" s="484"/>
      <c r="C29" s="484"/>
      <c r="D29" s="484"/>
      <c r="F29" s="198"/>
      <c r="G29" s="718"/>
    </row>
    <row r="30" spans="1:11" x14ac:dyDescent="0.2">
      <c r="A30" s="719" t="s">
        <v>592</v>
      </c>
      <c r="B30" s="720"/>
      <c r="C30" s="719" t="s">
        <v>400</v>
      </c>
      <c r="D30" s="720" t="s">
        <v>2086</v>
      </c>
      <c r="E30" s="721" t="s">
        <v>791</v>
      </c>
      <c r="F30" s="198"/>
      <c r="G30" s="718"/>
    </row>
    <row r="31" spans="1:11" x14ac:dyDescent="0.2">
      <c r="A31" s="722"/>
      <c r="D31" s="233"/>
      <c r="E31" s="723" t="s">
        <v>792</v>
      </c>
      <c r="F31" s="724" t="s">
        <v>559</v>
      </c>
      <c r="G31" s="677"/>
      <c r="H31" s="2314"/>
      <c r="I31" s="2315"/>
      <c r="J31" s="2315"/>
      <c r="K31" s="2315"/>
    </row>
    <row r="32" spans="1:11" x14ac:dyDescent="0.2">
      <c r="A32" s="722"/>
      <c r="B32" s="233"/>
      <c r="C32" s="233"/>
      <c r="D32" s="233"/>
      <c r="E32" s="718"/>
      <c r="F32" s="724" t="s">
        <v>560</v>
      </c>
      <c r="G32" s="677"/>
      <c r="H32" s="2316"/>
      <c r="I32" s="2315"/>
      <c r="J32" s="2315"/>
      <c r="K32" s="2315"/>
    </row>
    <row r="33" spans="1:11" ht="1.5" customHeight="1" x14ac:dyDescent="0.2">
      <c r="A33" s="725" t="s">
        <v>1230</v>
      </c>
      <c r="B33" s="360"/>
      <c r="C33" s="360"/>
      <c r="D33" s="360"/>
      <c r="E33" s="360"/>
      <c r="F33" s="360"/>
      <c r="G33" s="726"/>
      <c r="H33" s="2316"/>
      <c r="I33" s="2315"/>
      <c r="J33" s="2315"/>
      <c r="K33" s="2315"/>
    </row>
    <row r="34" spans="1:11" x14ac:dyDescent="0.2">
      <c r="A34" s="727" t="s">
        <v>1919</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84" t="s">
        <v>561</v>
      </c>
      <c r="B41" s="2285"/>
      <c r="C41" s="2285"/>
      <c r="D41" s="2285"/>
      <c r="E41" s="2285"/>
      <c r="F41" s="2286"/>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58" t="s">
        <v>1913</v>
      </c>
      <c r="B46" s="404" t="s">
        <v>1773</v>
      </c>
    </row>
    <row r="47" spans="1:11" s="736" customFormat="1" ht="12.75" customHeight="1" x14ac:dyDescent="0.2">
      <c r="A47" s="734"/>
      <c r="B47" s="735" t="s">
        <v>1774</v>
      </c>
      <c r="E47" s="735"/>
      <c r="K47" s="737"/>
    </row>
    <row r="48" spans="1:11" ht="12.75" customHeight="1" x14ac:dyDescent="0.2">
      <c r="A48" s="1459" t="s">
        <v>1914</v>
      </c>
      <c r="B48" s="404" t="s">
        <v>980</v>
      </c>
    </row>
  </sheetData>
  <sheetProtection algorithmName="SHA-512" hashValue="hYSzJ+Hodf0E6Iyvhp83zjI0HezAmNkf2JEQ/ImVLhSURmfEqzU8QqUvNFXNGA+yNKbL53xUw5MoAXc/QGEoIQ==" saltValue="SBQARNEj/FSB9OI210nW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tabColor rgb="FFFF0000"/>
  </sheetPr>
  <dimension ref="A1:N27"/>
  <sheetViews>
    <sheetView showGridLines="0" defaultGridColor="0" colorId="8" zoomScale="110" zoomScaleNormal="110" workbookViewId="0">
      <selection activeCell="C13" sqref="C13"/>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323" t="s">
        <v>2031</v>
      </c>
      <c r="B1" s="2324"/>
      <c r="C1" s="2325"/>
      <c r="D1" s="739"/>
      <c r="E1" s="740"/>
      <c r="F1" s="740"/>
      <c r="G1" s="741"/>
      <c r="H1" s="742"/>
      <c r="I1" s="743"/>
      <c r="J1" s="2321"/>
      <c r="K1" s="2322"/>
      <c r="L1" s="2322"/>
    </row>
    <row r="2" spans="1:14" ht="69.75" customHeight="1" x14ac:dyDescent="0.2">
      <c r="A2" s="744" t="s">
        <v>1776</v>
      </c>
      <c r="B2" s="745" t="s">
        <v>395</v>
      </c>
      <c r="C2" s="746" t="s">
        <v>2026</v>
      </c>
      <c r="D2" s="746" t="s">
        <v>2023</v>
      </c>
      <c r="E2" s="746" t="s">
        <v>2024</v>
      </c>
      <c r="F2" s="746" t="s">
        <v>2025</v>
      </c>
      <c r="G2" s="746" t="s">
        <v>625</v>
      </c>
      <c r="H2" s="746" t="s">
        <v>2027</v>
      </c>
      <c r="I2" s="746" t="s">
        <v>2028</v>
      </c>
      <c r="J2" s="746" t="s">
        <v>2043</v>
      </c>
      <c r="K2" s="746" t="s">
        <v>2029</v>
      </c>
      <c r="L2" s="746" t="s">
        <v>2030</v>
      </c>
      <c r="M2" s="747"/>
      <c r="N2" s="747"/>
    </row>
    <row r="3" spans="1:14" ht="13.5" thickBot="1" x14ac:dyDescent="0.25">
      <c r="A3" s="1544" t="s">
        <v>947</v>
      </c>
      <c r="B3" s="1545">
        <v>210</v>
      </c>
      <c r="C3" s="748"/>
      <c r="D3" s="748"/>
      <c r="E3" s="748"/>
      <c r="F3" s="1650">
        <f>(C3+D3)-E3</f>
        <v>0</v>
      </c>
      <c r="G3" s="749"/>
      <c r="H3" s="748"/>
      <c r="I3" s="748"/>
      <c r="J3" s="748"/>
      <c r="K3" s="1659">
        <f>(H3+I3)-J3</f>
        <v>0</v>
      </c>
      <c r="L3" s="1659">
        <f>F3-K3</f>
        <v>0</v>
      </c>
      <c r="M3" s="747"/>
      <c r="N3" s="747"/>
    </row>
    <row r="4" spans="1:14" ht="15" customHeight="1" thickTop="1" x14ac:dyDescent="0.2">
      <c r="A4" s="1546" t="s">
        <v>160</v>
      </c>
      <c r="B4" s="1545">
        <v>220</v>
      </c>
      <c r="C4" s="694"/>
      <c r="D4" s="694"/>
      <c r="E4" s="694"/>
      <c r="F4" s="686"/>
      <c r="G4" s="750"/>
      <c r="H4" s="751"/>
      <c r="I4" s="751"/>
      <c r="J4" s="751"/>
      <c r="K4" s="752"/>
      <c r="L4" s="686"/>
    </row>
    <row r="5" spans="1:14" ht="13.5" thickBot="1" x14ac:dyDescent="0.25">
      <c r="A5" s="691" t="s">
        <v>948</v>
      </c>
      <c r="B5" s="753">
        <v>221</v>
      </c>
      <c r="C5" s="754">
        <v>6763833</v>
      </c>
      <c r="D5" s="754">
        <v>3421034</v>
      </c>
      <c r="E5" s="754"/>
      <c r="F5" s="1650">
        <f>(C5+D5)-E5</f>
        <v>10184867</v>
      </c>
      <c r="G5" s="750"/>
      <c r="H5" s="755"/>
      <c r="I5" s="755"/>
      <c r="J5" s="755"/>
      <c r="K5" s="706"/>
      <c r="L5" s="1659">
        <f>F5-K5</f>
        <v>10184867</v>
      </c>
    </row>
    <row r="6" spans="1:14" ht="14.25" thickTop="1" thickBot="1" x14ac:dyDescent="0.25">
      <c r="A6" s="691" t="s">
        <v>1178</v>
      </c>
      <c r="B6" s="753">
        <v>222</v>
      </c>
      <c r="C6" s="678">
        <v>3165970</v>
      </c>
      <c r="D6" s="678">
        <v>92552</v>
      </c>
      <c r="E6" s="678"/>
      <c r="F6" s="1650">
        <f>(C6+D6)-E6</f>
        <v>3258522</v>
      </c>
      <c r="G6" s="750">
        <v>50</v>
      </c>
      <c r="H6" s="678">
        <v>2564369</v>
      </c>
      <c r="I6" s="678">
        <f>IF((C6+D6)-((ROUND(F6/G6,0))+H6)&lt;0,(C6+D6)-H6,ROUND(F6/G6,0))</f>
        <v>65170</v>
      </c>
      <c r="J6" s="678"/>
      <c r="K6" s="1659">
        <f>(H6+I6)-J6</f>
        <v>2629539</v>
      </c>
      <c r="L6" s="1659">
        <f>F6-K6</f>
        <v>628983</v>
      </c>
    </row>
    <row r="7" spans="1:14" ht="15" customHeight="1" thickTop="1" x14ac:dyDescent="0.2">
      <c r="A7" s="1546" t="s">
        <v>161</v>
      </c>
      <c r="B7" s="1545">
        <v>230</v>
      </c>
      <c r="C7" s="694"/>
      <c r="D7" s="694"/>
      <c r="E7" s="694"/>
      <c r="F7" s="686"/>
      <c r="G7" s="756"/>
      <c r="H7" s="694"/>
      <c r="I7" s="694"/>
      <c r="J7" s="694"/>
      <c r="K7" s="686"/>
      <c r="L7" s="686"/>
    </row>
    <row r="8" spans="1:14" ht="13.5" thickBot="1" x14ac:dyDescent="0.25">
      <c r="A8" s="691" t="s">
        <v>1179</v>
      </c>
      <c r="B8" s="753">
        <v>231</v>
      </c>
      <c r="C8" s="757">
        <v>131287732</v>
      </c>
      <c r="D8" s="757">
        <f>634481+3542513+2802646</f>
        <v>6979640</v>
      </c>
      <c r="E8" s="757"/>
      <c r="F8" s="1650">
        <f>(C8+D8)-E8</f>
        <v>138267372</v>
      </c>
      <c r="G8" s="756">
        <v>50</v>
      </c>
      <c r="H8" s="678">
        <v>35409239</v>
      </c>
      <c r="I8" s="678">
        <f>IF((C8+D8)-((ROUND(F8/G8,0))+H8)&lt;0,(C8+D8)-H8,ROUND(F8/G8,0))</f>
        <v>2765347</v>
      </c>
      <c r="J8" s="678"/>
      <c r="K8" s="1659">
        <f>(H8+I8)-J8</f>
        <v>38174586</v>
      </c>
      <c r="L8" s="1659">
        <f>F8-K8</f>
        <v>100092786</v>
      </c>
    </row>
    <row r="9" spans="1:14" ht="14.25" thickTop="1" thickBot="1" x14ac:dyDescent="0.25">
      <c r="A9" s="691" t="s">
        <v>1180</v>
      </c>
      <c r="B9" s="753">
        <v>232</v>
      </c>
      <c r="C9" s="678"/>
      <c r="D9" s="678"/>
      <c r="E9" s="678"/>
      <c r="F9" s="1650">
        <f>(C9+D9)-E9</f>
        <v>0</v>
      </c>
      <c r="G9" s="756">
        <v>20</v>
      </c>
      <c r="H9" s="678"/>
      <c r="I9" s="678">
        <f>IF((C9+D9)-((ROUND(F9/G9,0))+H9)&lt;0,(C9+D9)-H9,ROUND(F9/G9,0))</f>
        <v>0</v>
      </c>
      <c r="J9" s="678"/>
      <c r="K9" s="1659">
        <f>(H9+I9)-J9</f>
        <v>0</v>
      </c>
      <c r="L9" s="1659">
        <f>F9-K9</f>
        <v>0</v>
      </c>
    </row>
    <row r="10" spans="1:14" ht="24" thickTop="1" thickBot="1" x14ac:dyDescent="0.25">
      <c r="A10" s="758" t="s">
        <v>1181</v>
      </c>
      <c r="B10" s="753">
        <v>240</v>
      </c>
      <c r="C10" s="759"/>
      <c r="D10" s="759"/>
      <c r="E10" s="759"/>
      <c r="F10" s="1654">
        <f>(C10+D10)-E10</f>
        <v>0</v>
      </c>
      <c r="G10" s="756">
        <v>20</v>
      </c>
      <c r="H10" s="760"/>
      <c r="I10" s="760">
        <f>IF((C10+D10)-((ROUND(F10/G10,0))+H10)&lt;0,(C10+D10)-H10,ROUND(F10/G10,0))</f>
        <v>0</v>
      </c>
      <c r="J10" s="760"/>
      <c r="K10" s="1659">
        <f>(H10+I10)-J10</f>
        <v>0</v>
      </c>
      <c r="L10" s="1659">
        <f>F10-K10</f>
        <v>0</v>
      </c>
    </row>
    <row r="11" spans="1:14" ht="13.5" thickTop="1" x14ac:dyDescent="0.2">
      <c r="A11" s="1547" t="s">
        <v>1197</v>
      </c>
      <c r="B11" s="1545">
        <v>250</v>
      </c>
      <c r="C11" s="694"/>
      <c r="D11" s="694"/>
      <c r="E11" s="694"/>
      <c r="F11" s="686"/>
      <c r="G11" s="756"/>
      <c r="H11" s="694"/>
      <c r="I11" s="694"/>
      <c r="J11" s="694"/>
      <c r="K11" s="686"/>
      <c r="L11" s="686"/>
    </row>
    <row r="12" spans="1:14" ht="13.5" thickBot="1" x14ac:dyDescent="0.25">
      <c r="A12" s="761" t="s">
        <v>1182</v>
      </c>
      <c r="B12" s="753">
        <v>251</v>
      </c>
      <c r="C12" s="757">
        <v>16144246</v>
      </c>
      <c r="D12" s="757">
        <v>835936</v>
      </c>
      <c r="E12" s="757">
        <v>1186940</v>
      </c>
      <c r="F12" s="1650">
        <f>(C12+D12)-E12</f>
        <v>15793242</v>
      </c>
      <c r="G12" s="756">
        <v>10</v>
      </c>
      <c r="H12" s="678">
        <v>14505056</v>
      </c>
      <c r="I12" s="678">
        <f>IF((C12+D12)-((ROUND(F12/G12,0))+H12)&lt;0,(C12+D12)-H12,ROUND(F12/G12,0))</f>
        <v>1579324</v>
      </c>
      <c r="J12" s="678">
        <v>421549</v>
      </c>
      <c r="K12" s="1659">
        <f>(H12+I12)-J12</f>
        <v>15662831</v>
      </c>
      <c r="L12" s="1659">
        <f>F12-K12</f>
        <v>130411</v>
      </c>
    </row>
    <row r="13" spans="1:14" ht="14.25" thickTop="1" thickBot="1" x14ac:dyDescent="0.25">
      <c r="A13" s="761" t="s">
        <v>1183</v>
      </c>
      <c r="B13" s="753">
        <v>252</v>
      </c>
      <c r="C13" s="757"/>
      <c r="D13" s="757"/>
      <c r="E13" s="757"/>
      <c r="F13" s="1650">
        <f>(C13+D13)-E13</f>
        <v>0</v>
      </c>
      <c r="G13" s="756">
        <v>5</v>
      </c>
      <c r="H13" s="678"/>
      <c r="I13" s="678">
        <f>IF((C13+D13)-((ROUND(F13/G13,0))+H13)&lt;0,(C13+D13)-H13,ROUND(F13/G13,0))</f>
        <v>0</v>
      </c>
      <c r="J13" s="678"/>
      <c r="K13" s="1659">
        <f>(H13+I13)-J13</f>
        <v>0</v>
      </c>
      <c r="L13" s="1659">
        <f>F13-K13</f>
        <v>0</v>
      </c>
    </row>
    <row r="14" spans="1:14" ht="14.25" thickTop="1" thickBot="1" x14ac:dyDescent="0.25">
      <c r="A14" s="761" t="s">
        <v>1184</v>
      </c>
      <c r="B14" s="753">
        <v>253</v>
      </c>
      <c r="C14" s="678"/>
      <c r="D14" s="678"/>
      <c r="E14" s="678"/>
      <c r="F14" s="1650">
        <f>(C14+D14)-E14</f>
        <v>0</v>
      </c>
      <c r="G14" s="756">
        <v>3</v>
      </c>
      <c r="H14" s="678"/>
      <c r="I14" s="678">
        <f>IF((C14+D14)-((ROUND(F14/G14,0))+H14)&lt;0,(C14+D14)-H14,ROUND(F14/G14,0))</f>
        <v>0</v>
      </c>
      <c r="J14" s="678"/>
      <c r="K14" s="1659">
        <f>(H14+I14)-J14</f>
        <v>0</v>
      </c>
      <c r="L14" s="1659">
        <f>F14-K14</f>
        <v>0</v>
      </c>
    </row>
    <row r="15" spans="1:14" ht="15" customHeight="1" thickTop="1" thickBot="1" x14ac:dyDescent="0.25">
      <c r="A15" s="1546" t="s">
        <v>548</v>
      </c>
      <c r="B15" s="1545">
        <v>260</v>
      </c>
      <c r="C15" s="757">
        <v>3542513</v>
      </c>
      <c r="D15" s="757">
        <v>5110559</v>
      </c>
      <c r="E15" s="757">
        <v>3542513</v>
      </c>
      <c r="F15" s="1650">
        <f>(C15+D15)-E15</f>
        <v>5110559</v>
      </c>
      <c r="G15" s="762" t="s">
        <v>916</v>
      </c>
      <c r="H15" s="694"/>
      <c r="I15" s="694"/>
      <c r="J15" s="694"/>
      <c r="K15" s="694"/>
      <c r="L15" s="1659">
        <f>F15-K15</f>
        <v>5110559</v>
      </c>
    </row>
    <row r="16" spans="1:14" ht="15" customHeight="1" thickTop="1" thickBot="1" x14ac:dyDescent="0.25">
      <c r="A16" s="1655" t="s">
        <v>663</v>
      </c>
      <c r="B16" s="1656">
        <v>200</v>
      </c>
      <c r="C16" s="1650">
        <f>SUM(C3,C5:C6,C8:C10,C12:C15)</f>
        <v>160904294</v>
      </c>
      <c r="D16" s="1650">
        <f>SUM(D3,D5:D6,D8:D10,D12:D15)</f>
        <v>16439721</v>
      </c>
      <c r="E16" s="1650">
        <f>SUM(E3,E5:E6,E8:E10,E12:E15)</f>
        <v>4729453</v>
      </c>
      <c r="F16" s="1650">
        <f>SUM(F3,F5:F6,F8:F10,F12:F15)</f>
        <v>172614562</v>
      </c>
      <c r="G16" s="756"/>
      <c r="H16" s="1650">
        <f>SUM(H3,H6,H8:H10,H12:H14,)</f>
        <v>52478664</v>
      </c>
      <c r="I16" s="1650">
        <f>SUM(I3,I6,I8:I10,I12:I14,)</f>
        <v>4409841</v>
      </c>
      <c r="J16" s="1650">
        <f>SUM(J3,J6,J8:J10,J12:J14,)</f>
        <v>421549</v>
      </c>
      <c r="K16" s="1650">
        <f>(H16+I16)-J16</f>
        <v>56466956</v>
      </c>
      <c r="L16" s="1650">
        <f>F16-K16</f>
        <v>116147606</v>
      </c>
    </row>
    <row r="17" spans="1:12" ht="15" customHeight="1" thickTop="1" thickBot="1" x14ac:dyDescent="0.25">
      <c r="A17" s="1548" t="s">
        <v>308</v>
      </c>
      <c r="B17" s="1545">
        <v>700</v>
      </c>
      <c r="C17" s="682"/>
      <c r="D17" s="682"/>
      <c r="E17" s="682"/>
      <c r="F17" s="1650">
        <f>SUM('Expenditures 15-22'!I114,'Expenditures 15-22'!I151,'Expenditures 15-22'!I210,'Expenditures 15-22'!I312,'Expenditures 15-22'!I342,'Expenditures 15-22'!I367)</f>
        <v>742</v>
      </c>
      <c r="G17" s="750">
        <v>10</v>
      </c>
      <c r="H17" s="682"/>
      <c r="I17" s="1659">
        <f>F17/G17</f>
        <v>74.2</v>
      </c>
      <c r="J17" s="682"/>
      <c r="K17" s="708"/>
      <c r="L17" s="708"/>
    </row>
    <row r="18" spans="1:12" ht="14.25" thickTop="1" thickBot="1" x14ac:dyDescent="0.25">
      <c r="A18" s="1657" t="s">
        <v>705</v>
      </c>
      <c r="B18" s="1658"/>
      <c r="C18" s="684"/>
      <c r="D18" s="684"/>
      <c r="E18" s="684"/>
      <c r="F18" s="763"/>
      <c r="G18" s="764"/>
      <c r="H18" s="686"/>
      <c r="I18" s="1650">
        <f>SUM(I16,I17)</f>
        <v>4409915.2</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tabColor rgb="FFFF0000"/>
  </sheetPr>
  <dimension ref="A1:H206"/>
  <sheetViews>
    <sheetView showGridLines="0" defaultGridColor="0" colorId="8" zoomScale="85" zoomScaleNormal="85" workbookViewId="0">
      <pane ySplit="5" topLeftCell="A180" activePane="bottomLeft" state="frozen"/>
      <selection activeCell="A47" sqref="A47"/>
      <selection pane="bottomLeft" activeCell="F202" sqref="F202"/>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329" t="s">
        <v>1698</v>
      </c>
      <c r="B1" s="2330"/>
      <c r="C1" s="2330"/>
      <c r="D1" s="2330"/>
      <c r="E1" s="2330"/>
      <c r="F1" s="2331"/>
      <c r="G1" s="768"/>
    </row>
    <row r="2" spans="1:7" ht="15" customHeight="1" thickBot="1" x14ac:dyDescent="0.25">
      <c r="A2" s="2332" t="s">
        <v>497</v>
      </c>
      <c r="B2" s="2333"/>
      <c r="C2" s="2333"/>
      <c r="D2" s="2333"/>
      <c r="E2" s="2333"/>
      <c r="F2" s="2334"/>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35"/>
      <c r="B5" s="2336"/>
      <c r="C5" s="2336"/>
      <c r="D5" s="2336"/>
      <c r="E5" s="2336"/>
      <c r="F5" s="2336"/>
    </row>
    <row r="6" spans="1:7" ht="13.5" customHeight="1" thickBot="1" x14ac:dyDescent="0.25">
      <c r="A6" s="2326" t="s">
        <v>1165</v>
      </c>
      <c r="B6" s="2327"/>
      <c r="C6" s="2327"/>
      <c r="D6" s="2327"/>
      <c r="E6" s="2327"/>
      <c r="F6" s="2328"/>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794">
        <f>'Expenditures 15-22'!K114</f>
        <v>107630769</v>
      </c>
      <c r="G8" s="778"/>
    </row>
    <row r="9" spans="1:7" x14ac:dyDescent="0.2">
      <c r="A9" s="782" t="s">
        <v>479</v>
      </c>
      <c r="B9" s="783" t="s">
        <v>1985</v>
      </c>
      <c r="C9" s="784"/>
      <c r="D9" s="782" t="s">
        <v>521</v>
      </c>
      <c r="E9" s="781"/>
      <c r="F9" s="1795">
        <f>'Expenditures 15-22'!K151</f>
        <v>13622382</v>
      </c>
      <c r="G9" s="785"/>
    </row>
    <row r="10" spans="1:7" x14ac:dyDescent="0.2">
      <c r="A10" s="782" t="s">
        <v>519</v>
      </c>
      <c r="B10" s="783" t="s">
        <v>1986</v>
      </c>
      <c r="C10" s="784"/>
      <c r="D10" s="782" t="s">
        <v>521</v>
      </c>
      <c r="E10" s="781"/>
      <c r="F10" s="1795">
        <f>'Expenditures 15-22'!K174</f>
        <v>9434143</v>
      </c>
      <c r="G10" s="785"/>
    </row>
    <row r="11" spans="1:7" x14ac:dyDescent="0.2">
      <c r="A11" s="782" t="s">
        <v>480</v>
      </c>
      <c r="B11" s="783" t="s">
        <v>1987</v>
      </c>
      <c r="C11" s="784"/>
      <c r="D11" s="782" t="s">
        <v>521</v>
      </c>
      <c r="E11" s="781"/>
      <c r="F11" s="1795">
        <f>'Expenditures 15-22'!K210</f>
        <v>7190635</v>
      </c>
      <c r="G11" s="785"/>
    </row>
    <row r="12" spans="1:7" x14ac:dyDescent="0.2">
      <c r="A12" s="782" t="s">
        <v>481</v>
      </c>
      <c r="B12" s="783" t="s">
        <v>1988</v>
      </c>
      <c r="C12" s="784"/>
      <c r="D12" s="782" t="s">
        <v>521</v>
      </c>
      <c r="E12" s="781"/>
      <c r="F12" s="1795">
        <f>'Expenditures 15-22'!K295</f>
        <v>4606647</v>
      </c>
      <c r="G12" s="785"/>
    </row>
    <row r="13" spans="1:7" x14ac:dyDescent="0.2">
      <c r="A13" s="782" t="s">
        <v>108</v>
      </c>
      <c r="B13" s="783" t="s">
        <v>1989</v>
      </c>
      <c r="C13" s="784"/>
      <c r="D13" s="782" t="s">
        <v>521</v>
      </c>
      <c r="E13" s="781"/>
      <c r="F13" s="1795">
        <f>'Expenditures 15-22'!K342</f>
        <v>1145041</v>
      </c>
      <c r="G13" s="786"/>
    </row>
    <row r="14" spans="1:7" ht="12" customHeight="1" thickBot="1" x14ac:dyDescent="0.25">
      <c r="A14" s="1660"/>
      <c r="B14" s="1661"/>
      <c r="C14" s="1662"/>
      <c r="D14" s="1663" t="s">
        <v>521</v>
      </c>
      <c r="E14" s="1664" t="s">
        <v>1014</v>
      </c>
      <c r="F14" s="1665">
        <f>SUM(F8:F13)</f>
        <v>143629617</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796">
        <f>'Revenues 9-14'!F43</f>
        <v>0</v>
      </c>
      <c r="G18" s="778"/>
    </row>
    <row r="19" spans="1:7" x14ac:dyDescent="0.2">
      <c r="A19" s="782" t="s">
        <v>480</v>
      </c>
      <c r="B19" s="783" t="s">
        <v>1068</v>
      </c>
      <c r="C19" s="790">
        <f>'Revenues 9-14'!B47</f>
        <v>1421</v>
      </c>
      <c r="D19" s="791" t="str">
        <f>'Revenues 9-14'!A47</f>
        <v>Summer Sch - Transp. Fees from Pupils or Parents (In State)</v>
      </c>
      <c r="E19" s="792"/>
      <c r="F19" s="1797">
        <f>'Revenues 9-14'!F47</f>
        <v>0</v>
      </c>
      <c r="G19" s="778"/>
    </row>
    <row r="20" spans="1:7" x14ac:dyDescent="0.2">
      <c r="A20" s="782" t="s">
        <v>480</v>
      </c>
      <c r="B20" s="783" t="s">
        <v>1069</v>
      </c>
      <c r="C20" s="788">
        <f>'Revenues 9-14'!B48</f>
        <v>1422</v>
      </c>
      <c r="D20" s="789" t="str">
        <f>'Revenues 9-14'!A48</f>
        <v>Summer Sch - Transp. Fees from Other Districts (In State)</v>
      </c>
      <c r="E20" s="781"/>
      <c r="F20" s="1798">
        <f>'Revenues 9-14'!F48</f>
        <v>0</v>
      </c>
      <c r="G20" s="778"/>
    </row>
    <row r="21" spans="1:7" x14ac:dyDescent="0.2">
      <c r="A21" s="782" t="s">
        <v>480</v>
      </c>
      <c r="B21" s="783" t="s">
        <v>1070</v>
      </c>
      <c r="C21" s="790">
        <f>'Revenues 9-14'!B49</f>
        <v>1423</v>
      </c>
      <c r="D21" s="789" t="str">
        <f>'Revenues 9-14'!A49</f>
        <v>Summer Sch - Transp. Fees from Other Sources (In State)</v>
      </c>
      <c r="E21" s="781"/>
      <c r="F21" s="1799">
        <f>'Revenues 9-14'!F49</f>
        <v>0</v>
      </c>
      <c r="G21" s="778"/>
    </row>
    <row r="22" spans="1:7" x14ac:dyDescent="0.2">
      <c r="A22" s="782" t="s">
        <v>480</v>
      </c>
      <c r="B22" s="783" t="s">
        <v>1071</v>
      </c>
      <c r="C22" s="790">
        <f>'Revenues 9-14'!B50</f>
        <v>1424</v>
      </c>
      <c r="D22" s="789" t="str">
        <f>'Revenues 9-14'!A50</f>
        <v>Summer Sch - Transp. Fees from Other Sources (Out of State)</v>
      </c>
      <c r="E22" s="781"/>
      <c r="F22" s="1799">
        <f>'Revenues 9-14'!F50</f>
        <v>0</v>
      </c>
      <c r="G22" s="778"/>
    </row>
    <row r="23" spans="1:7" x14ac:dyDescent="0.2">
      <c r="A23" s="782" t="s">
        <v>480</v>
      </c>
      <c r="B23" s="783" t="s">
        <v>1072</v>
      </c>
      <c r="C23" s="788">
        <f>'Revenues 9-14'!B52</f>
        <v>1432</v>
      </c>
      <c r="D23" s="789" t="str">
        <f>'Revenues 9-14'!A52</f>
        <v>CTE - Transp Fees from Other Districts (In State)</v>
      </c>
      <c r="E23" s="781"/>
      <c r="F23" s="1799">
        <f>'Revenues 9-14'!F52</f>
        <v>0</v>
      </c>
      <c r="G23" s="778"/>
    </row>
    <row r="24" spans="1:7" x14ac:dyDescent="0.2">
      <c r="A24" s="782" t="s">
        <v>480</v>
      </c>
      <c r="B24" s="783" t="s">
        <v>1073</v>
      </c>
      <c r="C24" s="788">
        <f>'Revenues 9-14'!B56</f>
        <v>1442</v>
      </c>
      <c r="D24" s="789" t="str">
        <f>'Revenues 9-14'!A56</f>
        <v>Special Ed - Transp Fees from Other Districts (In State)</v>
      </c>
      <c r="E24" s="781"/>
      <c r="F24" s="1799">
        <f>'Revenues 9-14'!F56</f>
        <v>0</v>
      </c>
      <c r="G24" s="778"/>
    </row>
    <row r="25" spans="1:7" x14ac:dyDescent="0.2">
      <c r="A25" s="782" t="s">
        <v>480</v>
      </c>
      <c r="B25" s="783" t="s">
        <v>1074</v>
      </c>
      <c r="C25" s="788">
        <f>'Revenues 9-14'!B59</f>
        <v>1451</v>
      </c>
      <c r="D25" s="789" t="str">
        <f>'Revenues 9-14'!A59</f>
        <v>Adult - Transp Fees from Pupils or Parents (In State)</v>
      </c>
      <c r="E25" s="781"/>
      <c r="F25" s="1799">
        <f>'Revenues 9-14'!F59</f>
        <v>0</v>
      </c>
      <c r="G25" s="778"/>
    </row>
    <row r="26" spans="1:7" x14ac:dyDescent="0.2">
      <c r="A26" s="782" t="s">
        <v>480</v>
      </c>
      <c r="B26" s="783" t="s">
        <v>1075</v>
      </c>
      <c r="C26" s="788">
        <f>'Revenues 9-14'!B60</f>
        <v>1452</v>
      </c>
      <c r="D26" s="789" t="str">
        <f>'Revenues 9-14'!A60</f>
        <v>Adult - Transp Fees from Other Districts (In State)</v>
      </c>
      <c r="E26" s="781"/>
      <c r="F26" s="1799">
        <f>'Revenues 9-14'!F60</f>
        <v>0</v>
      </c>
      <c r="G26" s="778"/>
    </row>
    <row r="27" spans="1:7" x14ac:dyDescent="0.2">
      <c r="A27" s="782" t="s">
        <v>480</v>
      </c>
      <c r="B27" s="783" t="s">
        <v>1076</v>
      </c>
      <c r="C27" s="788">
        <f>'Revenues 9-14'!B61</f>
        <v>1453</v>
      </c>
      <c r="D27" s="789" t="str">
        <f>'Revenues 9-14'!A61</f>
        <v>Adult - Transp Fees from Other Sources (In State)</v>
      </c>
      <c r="E27" s="781"/>
      <c r="F27" s="1799">
        <f>'Revenues 9-14'!F61</f>
        <v>0</v>
      </c>
      <c r="G27" s="778"/>
    </row>
    <row r="28" spans="1:7" x14ac:dyDescent="0.2">
      <c r="A28" s="782" t="s">
        <v>480</v>
      </c>
      <c r="B28" s="783" t="s">
        <v>1077</v>
      </c>
      <c r="C28" s="788">
        <f>'Revenues 9-14'!B62</f>
        <v>1454</v>
      </c>
      <c r="D28" s="789" t="str">
        <f>'Revenues 9-14'!A62</f>
        <v>Adult - Transp Fees from Other Sources (Out of State)</v>
      </c>
      <c r="E28" s="781"/>
      <c r="F28" s="1799">
        <f>'Revenues 9-14'!F62</f>
        <v>0</v>
      </c>
      <c r="G28" s="778"/>
    </row>
    <row r="29" spans="1:7" x14ac:dyDescent="0.2">
      <c r="A29" s="782" t="s">
        <v>1158</v>
      </c>
      <c r="B29" s="783" t="s">
        <v>1682</v>
      </c>
      <c r="C29" s="793">
        <f>'Revenues 9-14'!B148</f>
        <v>3410</v>
      </c>
      <c r="D29" s="794" t="str">
        <f>'Revenues 9-14'!A148</f>
        <v>Adult Ed (from ICCB)</v>
      </c>
      <c r="E29" s="781"/>
      <c r="F29" s="1799">
        <f>SUM('Revenues 9-14'!D148,F148)</f>
        <v>0</v>
      </c>
      <c r="G29" s="778"/>
    </row>
    <row r="30" spans="1:7" x14ac:dyDescent="0.2">
      <c r="A30" s="782" t="s">
        <v>1158</v>
      </c>
      <c r="B30" s="783" t="s">
        <v>860</v>
      </c>
      <c r="C30" s="793">
        <f>'Revenues 9-14'!B149</f>
        <v>3499</v>
      </c>
      <c r="D30" s="794" t="str">
        <f>'Revenues 9-14'!A149</f>
        <v>Adult Ed - Other (Describe &amp; Itemize)</v>
      </c>
      <c r="E30" s="781"/>
      <c r="F30" s="1800">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799">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799">
        <f>SUM('Revenues 9-14'!D219,'Revenues 9-14'!F219)</f>
        <v>0</v>
      </c>
      <c r="G32" s="778"/>
    </row>
    <row r="33" spans="1:7" x14ac:dyDescent="0.2">
      <c r="A33" s="782" t="s">
        <v>479</v>
      </c>
      <c r="B33" s="783" t="s">
        <v>800</v>
      </c>
      <c r="C33" s="788">
        <f>'Revenues 9-14'!B229</f>
        <v>4810</v>
      </c>
      <c r="D33" s="796" t="str">
        <f>'Revenues 9-14'!A229</f>
        <v>Federal - Adult Education</v>
      </c>
      <c r="E33" s="781"/>
      <c r="F33" s="1799">
        <f>'Revenues 9-14'!D229</f>
        <v>0</v>
      </c>
      <c r="G33" s="778"/>
    </row>
    <row r="34" spans="1:7" x14ac:dyDescent="0.2">
      <c r="A34" s="782" t="s">
        <v>478</v>
      </c>
      <c r="B34" s="782" t="s">
        <v>1544</v>
      </c>
      <c r="C34" s="799" t="str">
        <f>'Expenditures 15-22'!B7</f>
        <v>1125</v>
      </c>
      <c r="D34" s="800" t="str">
        <f>'Expenditures 15-22'!A7</f>
        <v>Pre-K Programs</v>
      </c>
      <c r="E34" s="781"/>
      <c r="F34" s="1799">
        <f>'Expenditures 15-22'!K7-SUM('Expenditures 15-22'!G7,'Expenditures 15-22'!I7)</f>
        <v>0</v>
      </c>
      <c r="G34" s="778"/>
    </row>
    <row r="35" spans="1:7" x14ac:dyDescent="0.2">
      <c r="A35" s="782" t="s">
        <v>478</v>
      </c>
      <c r="B35" s="782" t="s">
        <v>1545</v>
      </c>
      <c r="C35" s="799" t="str">
        <f>'Expenditures 15-22'!B9</f>
        <v>1225</v>
      </c>
      <c r="D35" s="800" t="str">
        <f>'Expenditures 15-22'!A9</f>
        <v>Special Education Programs Pre-K</v>
      </c>
      <c r="E35" s="781"/>
      <c r="F35" s="1799">
        <f>'Expenditures 15-22'!K9-SUM('Expenditures 15-22'!G9+'Expenditures 15-22'!I9)</f>
        <v>0</v>
      </c>
      <c r="G35" s="778"/>
    </row>
    <row r="36" spans="1:7" x14ac:dyDescent="0.2">
      <c r="A36" s="782" t="s">
        <v>478</v>
      </c>
      <c r="B36" s="782" t="s">
        <v>118</v>
      </c>
      <c r="C36" s="799" t="str">
        <f>'Expenditures 15-22'!B11</f>
        <v>1275</v>
      </c>
      <c r="D36" s="800" t="str">
        <f>'Expenditures 15-22'!A11</f>
        <v>Remedial and Supplemental Programs Pre-K</v>
      </c>
      <c r="E36" s="781"/>
      <c r="F36" s="1799">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799">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799">
        <f>'Expenditures 15-22'!K15-SUM('Expenditures 15-22'!G15,'Expenditures 15-22'!I15)</f>
        <v>310410</v>
      </c>
      <c r="G38" s="778"/>
    </row>
    <row r="39" spans="1:7" x14ac:dyDescent="0.2">
      <c r="A39" s="782" t="s">
        <v>478</v>
      </c>
      <c r="B39" s="782" t="s">
        <v>119</v>
      </c>
      <c r="C39" s="799" t="str">
        <f>'Expenditures 15-22'!B20</f>
        <v>1910</v>
      </c>
      <c r="D39" s="801" t="str">
        <f>'Expenditures 15-22'!A20</f>
        <v>Pre-K Programs - Private Tuition</v>
      </c>
      <c r="E39" s="781"/>
      <c r="F39" s="1799">
        <f>'Expenditures 15-22'!K20</f>
        <v>0</v>
      </c>
      <c r="G39" s="778"/>
    </row>
    <row r="40" spans="1:7" x14ac:dyDescent="0.2">
      <c r="A40" s="782" t="s">
        <v>478</v>
      </c>
      <c r="B40" s="782" t="s">
        <v>120</v>
      </c>
      <c r="C40" s="799" t="str">
        <f>'Expenditures 15-22'!B21</f>
        <v>1911</v>
      </c>
      <c r="D40" s="801" t="str">
        <f>'Expenditures 15-22'!A21</f>
        <v>Regular K-12 Programs - Private Tuition</v>
      </c>
      <c r="E40" s="781"/>
      <c r="F40" s="1799">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799">
        <f>'Expenditures 15-22'!K22</f>
        <v>0</v>
      </c>
      <c r="G41" s="778"/>
    </row>
    <row r="42" spans="1:7" x14ac:dyDescent="0.2">
      <c r="A42" s="782" t="s">
        <v>478</v>
      </c>
      <c r="B42" s="782" t="s">
        <v>122</v>
      </c>
      <c r="C42" s="802" t="str">
        <f>'Expenditures 15-22'!B23</f>
        <v>1913</v>
      </c>
      <c r="D42" s="801" t="str">
        <f>'Expenditures 15-22'!A23</f>
        <v>Special Education Programs Pre-K - Tuition</v>
      </c>
      <c r="E42" s="781"/>
      <c r="F42" s="1799">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799">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799">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799">
        <f>'Expenditures 15-22'!K26</f>
        <v>0</v>
      </c>
      <c r="G45" s="778"/>
    </row>
    <row r="46" spans="1:7" x14ac:dyDescent="0.2">
      <c r="A46" s="782" t="s">
        <v>478</v>
      </c>
      <c r="B46" s="782" t="s">
        <v>126</v>
      </c>
      <c r="C46" s="799" t="str">
        <f>'Expenditures 15-22'!B27</f>
        <v>1917</v>
      </c>
      <c r="D46" s="801" t="str">
        <f>'Expenditures 15-22'!A27</f>
        <v>CTE Programs - Private Tuition</v>
      </c>
      <c r="E46" s="781"/>
      <c r="F46" s="1799">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799">
        <f>'Expenditures 15-22'!K28</f>
        <v>0</v>
      </c>
      <c r="G47" s="778"/>
    </row>
    <row r="48" spans="1:7" x14ac:dyDescent="0.2">
      <c r="A48" s="782" t="s">
        <v>478</v>
      </c>
      <c r="B48" s="782" t="s">
        <v>128</v>
      </c>
      <c r="C48" s="802" t="str">
        <f>'Expenditures 15-22'!B29</f>
        <v>1919</v>
      </c>
      <c r="D48" s="801" t="str">
        <f>'Expenditures 15-22'!A29</f>
        <v>Summer School Programs - Private Tuition</v>
      </c>
      <c r="E48" s="781"/>
      <c r="F48" s="1799">
        <f>'Expenditures 15-22'!K29</f>
        <v>0</v>
      </c>
      <c r="G48" s="778"/>
    </row>
    <row r="49" spans="1:7" x14ac:dyDescent="0.2">
      <c r="A49" s="782" t="s">
        <v>478</v>
      </c>
      <c r="B49" s="782" t="s">
        <v>129</v>
      </c>
      <c r="C49" s="799" t="str">
        <f>'Expenditures 15-22'!B30</f>
        <v>1920</v>
      </c>
      <c r="D49" s="801" t="str">
        <f>'Expenditures 15-22'!A30</f>
        <v>Gifted Programs - Private Tuition</v>
      </c>
      <c r="E49" s="781"/>
      <c r="F49" s="1799">
        <f>'Expenditures 15-22'!K30</f>
        <v>0</v>
      </c>
      <c r="G49" s="778"/>
    </row>
    <row r="50" spans="1:7" x14ac:dyDescent="0.2">
      <c r="A50" s="782" t="s">
        <v>478</v>
      </c>
      <c r="B50" s="782" t="s">
        <v>130</v>
      </c>
      <c r="C50" s="799" t="str">
        <f>'Expenditures 15-22'!B31</f>
        <v>1921</v>
      </c>
      <c r="D50" s="801" t="str">
        <f>'Expenditures 15-22'!A31</f>
        <v>Bilingual Programs - Private Tuition</v>
      </c>
      <c r="E50" s="781"/>
      <c r="F50" s="1799">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799">
        <f>'Expenditures 15-22'!K32</f>
        <v>0</v>
      </c>
      <c r="G51" s="778"/>
    </row>
    <row r="52" spans="1:7" x14ac:dyDescent="0.2">
      <c r="A52" s="782" t="s">
        <v>478</v>
      </c>
      <c r="B52" s="782" t="s">
        <v>1549</v>
      </c>
      <c r="C52" s="802" t="str">
        <f>'Expenditures 15-22'!B75</f>
        <v>3000</v>
      </c>
      <c r="D52" s="801" t="s">
        <v>468</v>
      </c>
      <c r="E52" s="781"/>
      <c r="F52" s="1799">
        <f>'Expenditures 15-22'!K75-SUM('Expenditures 15-22'!G75,'Expenditures 15-22'!I75)</f>
        <v>1504582</v>
      </c>
      <c r="G52" s="778"/>
    </row>
    <row r="53" spans="1:7" x14ac:dyDescent="0.2">
      <c r="A53" s="782" t="s">
        <v>478</v>
      </c>
      <c r="B53" s="782" t="s">
        <v>1550</v>
      </c>
      <c r="C53" s="802">
        <f>'Expenditures 15-22'!B102</f>
        <v>4000</v>
      </c>
      <c r="D53" s="801" t="str">
        <f>'Expenditures 15-22'!A102</f>
        <v>Total Payments to Other Govt Units</v>
      </c>
      <c r="E53" s="781"/>
      <c r="F53" s="1799">
        <f>'Expenditures 15-22'!K102</f>
        <v>495150</v>
      </c>
      <c r="G53" s="778"/>
    </row>
    <row r="54" spans="1:7" x14ac:dyDescent="0.2">
      <c r="A54" s="782" t="s">
        <v>478</v>
      </c>
      <c r="B54" s="782" t="s">
        <v>1551</v>
      </c>
      <c r="C54" s="802" t="s">
        <v>1038</v>
      </c>
      <c r="D54" s="798" t="s">
        <v>1156</v>
      </c>
      <c r="E54" s="781"/>
      <c r="F54" s="1799">
        <f>'Expenditures 15-22'!G114</f>
        <v>3516960</v>
      </c>
      <c r="G54" s="778"/>
    </row>
    <row r="55" spans="1:7" x14ac:dyDescent="0.2">
      <c r="A55" s="782" t="s">
        <v>478</v>
      </c>
      <c r="B55" s="782" t="s">
        <v>1552</v>
      </c>
      <c r="C55" s="802" t="s">
        <v>1038</v>
      </c>
      <c r="D55" s="798" t="s">
        <v>308</v>
      </c>
      <c r="E55" s="781"/>
      <c r="F55" s="1799">
        <f>'Expenditures 15-22'!I114</f>
        <v>742</v>
      </c>
      <c r="G55" s="778"/>
    </row>
    <row r="56" spans="1:7" x14ac:dyDescent="0.2">
      <c r="A56" s="782" t="s">
        <v>479</v>
      </c>
      <c r="B56" s="782" t="s">
        <v>1553</v>
      </c>
      <c r="C56" s="799" t="str">
        <f>'Expenditures 15-22'!B130</f>
        <v>3000</v>
      </c>
      <c r="D56" s="805" t="s">
        <v>468</v>
      </c>
      <c r="E56" s="781"/>
      <c r="F56" s="1799">
        <f>'Expenditures 15-22'!K130-SUM('Expenditures 15-22'!G130+'Expenditures 15-22'!I130)</f>
        <v>0</v>
      </c>
      <c r="G56" s="778"/>
    </row>
    <row r="57" spans="1:7" x14ac:dyDescent="0.2">
      <c r="A57" s="782" t="s">
        <v>479</v>
      </c>
      <c r="B57" s="782" t="s">
        <v>1990</v>
      </c>
      <c r="C57" s="802">
        <f>'Expenditures 15-22'!B139</f>
        <v>4000</v>
      </c>
      <c r="D57" s="800" t="str">
        <f>'Expenditures 15-22'!A139</f>
        <v>Total Payments to Other Govt Units</v>
      </c>
      <c r="E57" s="781"/>
      <c r="F57" s="1799">
        <f>'Expenditures 15-22'!K139</f>
        <v>0</v>
      </c>
      <c r="G57" s="778"/>
    </row>
    <row r="58" spans="1:7" x14ac:dyDescent="0.2">
      <c r="A58" s="782" t="s">
        <v>479</v>
      </c>
      <c r="B58" s="782" t="s">
        <v>1991</v>
      </c>
      <c r="C58" s="799" t="s">
        <v>1038</v>
      </c>
      <c r="D58" s="798" t="s">
        <v>1156</v>
      </c>
      <c r="E58" s="781"/>
      <c r="F58" s="1801">
        <f>'Expenditures 15-22'!G151</f>
        <v>3654743</v>
      </c>
      <c r="G58" s="778"/>
    </row>
    <row r="59" spans="1:7" x14ac:dyDescent="0.2">
      <c r="A59" s="806" t="s">
        <v>479</v>
      </c>
      <c r="B59" s="769" t="s">
        <v>1992</v>
      </c>
      <c r="C59" s="807" t="s">
        <v>1038</v>
      </c>
      <c r="D59" s="769" t="s">
        <v>308</v>
      </c>
      <c r="F59" s="1802">
        <f>'Expenditures 15-22'!I151</f>
        <v>0</v>
      </c>
      <c r="G59" s="778"/>
    </row>
    <row r="60" spans="1:7" x14ac:dyDescent="0.2">
      <c r="A60" s="806" t="s">
        <v>519</v>
      </c>
      <c r="B60" s="769" t="s">
        <v>1993</v>
      </c>
      <c r="C60" s="807">
        <v>4000</v>
      </c>
      <c r="D60" s="769" t="s">
        <v>329</v>
      </c>
      <c r="F60" s="1800">
        <f>'Expenditures 15-22'!K160</f>
        <v>0</v>
      </c>
      <c r="G60" s="778"/>
    </row>
    <row r="61" spans="1:7" x14ac:dyDescent="0.2">
      <c r="A61" s="808" t="s">
        <v>519</v>
      </c>
      <c r="B61" s="808" t="s">
        <v>1994</v>
      </c>
      <c r="C61" s="809" t="str">
        <f>'Expenditures 15-22'!B170</f>
        <v>5300</v>
      </c>
      <c r="D61" s="810" t="s">
        <v>328</v>
      </c>
      <c r="E61" s="792"/>
      <c r="F61" s="1799">
        <f>'Expenditures 15-22'!K170</f>
        <v>4812433</v>
      </c>
      <c r="G61" s="778"/>
    </row>
    <row r="62" spans="1:7" x14ac:dyDescent="0.2">
      <c r="A62" s="782" t="s">
        <v>480</v>
      </c>
      <c r="B62" s="782" t="s">
        <v>1995</v>
      </c>
      <c r="C62" s="799">
        <f>'Expenditures 15-22'!B185</f>
        <v>3000</v>
      </c>
      <c r="D62" s="789" t="s">
        <v>468</v>
      </c>
      <c r="E62" s="781"/>
      <c r="F62" s="1799">
        <f>'Expenditures 15-22'!K185-SUM('Expenditures 15-22'!G185,'Expenditures 15-22'!I185)</f>
        <v>0</v>
      </c>
      <c r="G62" s="778"/>
    </row>
    <row r="63" spans="1:7" x14ac:dyDescent="0.2">
      <c r="A63" s="782" t="s">
        <v>480</v>
      </c>
      <c r="B63" s="782" t="s">
        <v>1996</v>
      </c>
      <c r="C63" s="799" t="str">
        <f>'Expenditures 15-22'!B196</f>
        <v>4000</v>
      </c>
      <c r="D63" s="800" t="str">
        <f>'Expenditures 15-22'!A196</f>
        <v>Total Payments to Other Govt Units</v>
      </c>
      <c r="E63" s="781"/>
      <c r="F63" s="1799">
        <f>'Expenditures 15-22'!K196</f>
        <v>0</v>
      </c>
      <c r="G63" s="778"/>
    </row>
    <row r="64" spans="1:7" x14ac:dyDescent="0.2">
      <c r="A64" s="808" t="s">
        <v>480</v>
      </c>
      <c r="B64" s="808" t="s">
        <v>1997</v>
      </c>
      <c r="C64" s="809" t="str">
        <f>'Expenditures 15-22'!B206</f>
        <v>5300</v>
      </c>
      <c r="D64" s="805" t="s">
        <v>328</v>
      </c>
      <c r="E64" s="781"/>
      <c r="F64" s="1799">
        <f>'Expenditures 15-22'!K206</f>
        <v>469403</v>
      </c>
      <c r="G64" s="778"/>
    </row>
    <row r="65" spans="1:8" x14ac:dyDescent="0.2">
      <c r="A65" s="782" t="s">
        <v>480</v>
      </c>
      <c r="B65" s="782" t="s">
        <v>1998</v>
      </c>
      <c r="C65" s="799" t="s">
        <v>1038</v>
      </c>
      <c r="D65" s="798" t="s">
        <v>1156</v>
      </c>
      <c r="E65" s="781"/>
      <c r="F65" s="1799">
        <f>'Expenditures 15-22'!G210</f>
        <v>470639</v>
      </c>
      <c r="G65" s="778"/>
    </row>
    <row r="66" spans="1:8" x14ac:dyDescent="0.2">
      <c r="A66" s="782" t="s">
        <v>480</v>
      </c>
      <c r="B66" s="782" t="s">
        <v>1999</v>
      </c>
      <c r="C66" s="799" t="s">
        <v>1038</v>
      </c>
      <c r="D66" s="798" t="s">
        <v>308</v>
      </c>
      <c r="E66" s="781"/>
      <c r="F66" s="1799">
        <f>'Expenditures 15-22'!I210</f>
        <v>0</v>
      </c>
      <c r="G66" s="778"/>
    </row>
    <row r="67" spans="1:8" x14ac:dyDescent="0.2">
      <c r="A67" s="782" t="s">
        <v>481</v>
      </c>
      <c r="B67" s="782" t="s">
        <v>2000</v>
      </c>
      <c r="C67" s="799" t="str">
        <f>'Expenditures 15-22'!B216</f>
        <v>1125</v>
      </c>
      <c r="D67" s="805" t="str">
        <f>'Expenditures 15-22'!A216</f>
        <v>Pre-K Programs</v>
      </c>
      <c r="E67" s="781"/>
      <c r="F67" s="1799">
        <f>'Expenditures 15-22'!K216</f>
        <v>0</v>
      </c>
      <c r="G67" s="778"/>
    </row>
    <row r="68" spans="1:8" x14ac:dyDescent="0.2">
      <c r="A68" s="782" t="s">
        <v>481</v>
      </c>
      <c r="B68" s="782" t="s">
        <v>1554</v>
      </c>
      <c r="C68" s="799" t="str">
        <f>'Expenditures 15-22'!B218</f>
        <v>1225</v>
      </c>
      <c r="D68" s="805" t="str">
        <f>'Expenditures 15-22'!A218</f>
        <v>Special Education Programs - Pre-K</v>
      </c>
      <c r="E68" s="781"/>
      <c r="F68" s="1799">
        <f>'Expenditures 15-22'!K218</f>
        <v>0</v>
      </c>
      <c r="G68" s="778"/>
    </row>
    <row r="69" spans="1:8" x14ac:dyDescent="0.2">
      <c r="A69" s="782" t="s">
        <v>481</v>
      </c>
      <c r="B69" s="782" t="s">
        <v>2001</v>
      </c>
      <c r="C69" s="799" t="str">
        <f>'Expenditures 15-22'!B220</f>
        <v>1275</v>
      </c>
      <c r="D69" s="805" t="str">
        <f>'Expenditures 15-22'!A220</f>
        <v>Remedial and Supplemental Programs - Pre-K</v>
      </c>
      <c r="E69" s="781"/>
      <c r="F69" s="1799">
        <f>'Expenditures 15-22'!K220</f>
        <v>0</v>
      </c>
      <c r="G69" s="778"/>
    </row>
    <row r="70" spans="1:8" x14ac:dyDescent="0.2">
      <c r="A70" s="782" t="s">
        <v>481</v>
      </c>
      <c r="B70" s="782" t="s">
        <v>2002</v>
      </c>
      <c r="C70" s="799">
        <f>'Expenditures 15-22'!B221</f>
        <v>1300</v>
      </c>
      <c r="D70" s="800" t="str">
        <f>'Expenditures 15-22'!A221</f>
        <v>Adult/Continuing Education Programs</v>
      </c>
      <c r="E70" s="781"/>
      <c r="F70" s="1799">
        <f>'Expenditures 15-22'!K221</f>
        <v>0</v>
      </c>
      <c r="G70" s="778"/>
    </row>
    <row r="71" spans="1:8" x14ac:dyDescent="0.2">
      <c r="A71" s="782" t="s">
        <v>481</v>
      </c>
      <c r="B71" s="782" t="s">
        <v>2003</v>
      </c>
      <c r="C71" s="799">
        <f>'Expenditures 15-22'!B224</f>
        <v>1600</v>
      </c>
      <c r="D71" s="800" t="str">
        <f>'Expenditures 15-22'!A224</f>
        <v>Summer School Programs</v>
      </c>
      <c r="E71" s="781"/>
      <c r="F71" s="1799">
        <f>'Expenditures 15-22'!K224</f>
        <v>13426</v>
      </c>
      <c r="G71" s="778"/>
    </row>
    <row r="72" spans="1:8" x14ac:dyDescent="0.2">
      <c r="A72" s="782" t="s">
        <v>481</v>
      </c>
      <c r="B72" s="782" t="s">
        <v>2004</v>
      </c>
      <c r="C72" s="799">
        <f>'Expenditures 15-22'!B280</f>
        <v>3000</v>
      </c>
      <c r="D72" s="789" t="s">
        <v>468</v>
      </c>
      <c r="E72" s="781"/>
      <c r="F72" s="1799">
        <f>'Expenditures 15-22'!K280</f>
        <v>159797</v>
      </c>
      <c r="G72" s="778"/>
    </row>
    <row r="73" spans="1:8" x14ac:dyDescent="0.2">
      <c r="A73" s="782" t="s">
        <v>481</v>
      </c>
      <c r="B73" s="782" t="s">
        <v>2005</v>
      </c>
      <c r="C73" s="799" t="str">
        <f>'Expenditures 15-22'!B285</f>
        <v>4000</v>
      </c>
      <c r="D73" s="800" t="str">
        <f>'Expenditures 15-22'!A285</f>
        <v>Total Payments to Other Govt Units</v>
      </c>
      <c r="E73" s="781"/>
      <c r="F73" s="1799">
        <f>'Expenditures 15-22'!K285</f>
        <v>0</v>
      </c>
      <c r="G73" s="778"/>
    </row>
    <row r="74" spans="1:8" x14ac:dyDescent="0.2">
      <c r="A74" s="782" t="s">
        <v>455</v>
      </c>
      <c r="B74" s="782" t="s">
        <v>2006</v>
      </c>
      <c r="C74" s="799" t="s">
        <v>914</v>
      </c>
      <c r="D74" s="800" t="s">
        <v>1566</v>
      </c>
      <c r="E74" s="781"/>
      <c r="F74" s="1803">
        <f>'Expenditures 15-22'!K334</f>
        <v>0</v>
      </c>
      <c r="G74" s="778"/>
    </row>
    <row r="75" spans="1:8" ht="5.25" customHeight="1" x14ac:dyDescent="0.2">
      <c r="A75" s="778"/>
      <c r="B75" s="788"/>
      <c r="C75" s="788"/>
      <c r="D75" s="778"/>
      <c r="E75" s="781"/>
      <c r="F75" s="795"/>
      <c r="G75" s="780"/>
    </row>
    <row r="76" spans="1:8" ht="12" thickBot="1" x14ac:dyDescent="0.25">
      <c r="A76" s="1660"/>
      <c r="B76" s="1666"/>
      <c r="C76" s="1662"/>
      <c r="D76" s="1667" t="s">
        <v>2007</v>
      </c>
      <c r="E76" s="1664" t="s">
        <v>1014</v>
      </c>
      <c r="F76" s="1668">
        <f>SUM(F18:F74)</f>
        <v>15408285</v>
      </c>
      <c r="G76" s="778"/>
    </row>
    <row r="77" spans="1:8" s="806" customFormat="1" ht="12" customHeight="1" thickTop="1" thickBot="1" x14ac:dyDescent="0.25">
      <c r="A77" s="1669"/>
      <c r="B77" s="1666"/>
      <c r="C77" s="1662"/>
      <c r="D77" s="1667" t="s">
        <v>2008</v>
      </c>
      <c r="E77" s="1664"/>
      <c r="F77" s="1670">
        <f>(F14-F76)</f>
        <v>128221332</v>
      </c>
      <c r="G77" s="782"/>
    </row>
    <row r="78" spans="1:8" s="806" customFormat="1" ht="12" customHeight="1" thickTop="1" x14ac:dyDescent="0.2">
      <c r="A78" s="1671"/>
      <c r="B78" s="1666"/>
      <c r="C78" s="1662"/>
      <c r="D78" s="1667" t="s">
        <v>2055</v>
      </c>
      <c r="E78" s="1664"/>
      <c r="F78" s="811">
        <v>8924.7199999999993</v>
      </c>
      <c r="G78" s="812"/>
      <c r="H78" s="782"/>
    </row>
    <row r="79" spans="1:8" s="806" customFormat="1" ht="12" customHeight="1" thickBot="1" x14ac:dyDescent="0.25">
      <c r="A79" s="1672"/>
      <c r="B79" s="1666"/>
      <c r="C79" s="1662"/>
      <c r="D79" s="1667" t="s">
        <v>2009</v>
      </c>
      <c r="E79" s="1664" t="s">
        <v>1014</v>
      </c>
      <c r="F79" s="1673">
        <f>IF(F78&gt;0,F77/F78," Complete Line 78")</f>
        <v>14366.986527308422</v>
      </c>
      <c r="G79" s="782"/>
    </row>
    <row r="80" spans="1:8" s="806" customFormat="1" ht="8.25" customHeight="1" thickTop="1" x14ac:dyDescent="0.2">
      <c r="A80" s="813"/>
      <c r="B80" s="782"/>
      <c r="C80" s="784"/>
      <c r="D80" s="814"/>
      <c r="E80" s="781"/>
      <c r="F80" s="815"/>
      <c r="G80" s="782"/>
    </row>
    <row r="81" spans="1:7" s="806" customFormat="1" ht="12" thickBot="1" x14ac:dyDescent="0.25">
      <c r="A81" s="2326" t="s">
        <v>1166</v>
      </c>
      <c r="B81" s="2327"/>
      <c r="C81" s="2327"/>
      <c r="D81" s="2327"/>
      <c r="E81" s="2327"/>
      <c r="F81" s="2328"/>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93">
        <f>'Revenues 9-14'!F42</f>
        <v>0</v>
      </c>
      <c r="G84" s="825"/>
    </row>
    <row r="85" spans="1:7" x14ac:dyDescent="0.2">
      <c r="A85" s="821" t="s">
        <v>480</v>
      </c>
      <c r="B85" s="821" t="s">
        <v>192</v>
      </c>
      <c r="C85" s="826">
        <f>'Revenues 9-14'!B44</f>
        <v>1413</v>
      </c>
      <c r="D85" s="824" t="str">
        <f>'Revenues 9-14'!A44</f>
        <v>Regular - Transp Fees from Other Sources (In State)</v>
      </c>
      <c r="E85" s="819"/>
      <c r="F85" s="1679">
        <f>'Revenues 9-14'!F44</f>
        <v>0</v>
      </c>
      <c r="G85" s="827"/>
    </row>
    <row r="86" spans="1:7" x14ac:dyDescent="0.2">
      <c r="A86" s="821" t="s">
        <v>480</v>
      </c>
      <c r="B86" s="821" t="s">
        <v>168</v>
      </c>
      <c r="C86" s="823">
        <f>'Revenues 9-14'!B45</f>
        <v>1415</v>
      </c>
      <c r="D86" s="824" t="str">
        <f>'Revenues 9-14'!A45</f>
        <v>Regular - Transp Fees from Co-curricular Activities (In State)</v>
      </c>
      <c r="E86" s="819"/>
      <c r="F86" s="1679">
        <f>'Revenues 9-14'!F45</f>
        <v>719096</v>
      </c>
      <c r="G86" s="827"/>
    </row>
    <row r="87" spans="1:7" x14ac:dyDescent="0.2">
      <c r="A87" s="821" t="s">
        <v>480</v>
      </c>
      <c r="B87" s="821" t="s">
        <v>169</v>
      </c>
      <c r="C87" s="823">
        <v>1416</v>
      </c>
      <c r="D87" s="824" t="str">
        <f>'Revenues 9-14'!A46</f>
        <v>Regular Transp Fees from Other Sources (Out of State)</v>
      </c>
      <c r="E87" s="819"/>
      <c r="F87" s="1679">
        <f>'Revenues 9-14'!F46</f>
        <v>0</v>
      </c>
      <c r="G87" s="827"/>
    </row>
    <row r="88" spans="1:7" x14ac:dyDescent="0.2">
      <c r="A88" s="821" t="s">
        <v>480</v>
      </c>
      <c r="B88" s="821" t="s">
        <v>170</v>
      </c>
      <c r="C88" s="823">
        <f>'Revenues 9-14'!B51</f>
        <v>1431</v>
      </c>
      <c r="D88" s="824" t="str">
        <f>'Revenues 9-14'!A51</f>
        <v>CTE - Transp Fees from Pupils or Parents (In State)</v>
      </c>
      <c r="E88" s="819"/>
      <c r="F88" s="1679">
        <f>'Revenues 9-14'!F51</f>
        <v>0</v>
      </c>
      <c r="G88" s="827"/>
    </row>
    <row r="89" spans="1:7" x14ac:dyDescent="0.2">
      <c r="A89" s="821" t="s">
        <v>480</v>
      </c>
      <c r="B89" s="821" t="s">
        <v>171</v>
      </c>
      <c r="C89" s="823">
        <f>'Revenues 9-14'!B53</f>
        <v>1433</v>
      </c>
      <c r="D89" s="824" t="str">
        <f>'Revenues 9-14'!A53</f>
        <v>CTE - Transp Fees from Other Sources (In State)</v>
      </c>
      <c r="E89" s="819"/>
      <c r="F89" s="1679">
        <f>'Revenues 9-14'!F53</f>
        <v>0</v>
      </c>
      <c r="G89" s="827"/>
    </row>
    <row r="90" spans="1:7" x14ac:dyDescent="0.2">
      <c r="A90" s="821" t="s">
        <v>480</v>
      </c>
      <c r="B90" s="821" t="s">
        <v>172</v>
      </c>
      <c r="C90" s="823">
        <f>'Revenues 9-14'!B54</f>
        <v>1434</v>
      </c>
      <c r="D90" s="824" t="str">
        <f>'Revenues 9-14'!A54</f>
        <v>CTE - Transp Fees from Other Sources (Out of State)</v>
      </c>
      <c r="E90" s="819"/>
      <c r="F90" s="1679">
        <f>'Revenues 9-14'!F54</f>
        <v>0</v>
      </c>
      <c r="G90" s="827"/>
    </row>
    <row r="91" spans="1:7" x14ac:dyDescent="0.2">
      <c r="A91" s="821" t="s">
        <v>480</v>
      </c>
      <c r="B91" s="821" t="s">
        <v>173</v>
      </c>
      <c r="C91" s="828">
        <f>'Revenues 9-14'!B55</f>
        <v>1441</v>
      </c>
      <c r="D91" s="824" t="str">
        <f>'Revenues 9-14'!A55</f>
        <v>Special Ed - Transp Fees from Pupils or Parents (In State)</v>
      </c>
      <c r="E91" s="819"/>
      <c r="F91" s="1679">
        <f>'Revenues 9-14'!F55</f>
        <v>0</v>
      </c>
      <c r="G91" s="827"/>
    </row>
    <row r="92" spans="1:7" x14ac:dyDescent="0.2">
      <c r="A92" s="821" t="s">
        <v>480</v>
      </c>
      <c r="B92" s="821" t="s">
        <v>174</v>
      </c>
      <c r="C92" s="823">
        <f>'Revenues 9-14'!B57</f>
        <v>1443</v>
      </c>
      <c r="D92" s="824" t="str">
        <f>'Revenues 9-14'!A57</f>
        <v>Special Ed - Transp Fees from Other Sources (In State)</v>
      </c>
      <c r="E92" s="819"/>
      <c r="F92" s="1679">
        <f>'Revenues 9-14'!F57</f>
        <v>0</v>
      </c>
      <c r="G92" s="829"/>
    </row>
    <row r="93" spans="1:7" x14ac:dyDescent="0.2">
      <c r="A93" s="821" t="s">
        <v>480</v>
      </c>
      <c r="B93" s="821" t="s">
        <v>175</v>
      </c>
      <c r="C93" s="823">
        <f>'Revenues 9-14'!B58</f>
        <v>1444</v>
      </c>
      <c r="D93" s="824" t="str">
        <f>'Revenues 9-14'!A58</f>
        <v>Special Ed - Transp Fees from Other Sources (Out of State)</v>
      </c>
      <c r="E93" s="819"/>
      <c r="F93" s="1679">
        <f>'Revenues 9-14'!F58</f>
        <v>0</v>
      </c>
      <c r="G93" s="829"/>
    </row>
    <row r="94" spans="1:7" x14ac:dyDescent="0.2">
      <c r="A94" s="821" t="s">
        <v>478</v>
      </c>
      <c r="B94" s="821" t="s">
        <v>176</v>
      </c>
      <c r="C94" s="823">
        <v>1600</v>
      </c>
      <c r="D94" s="830" t="str">
        <f>'Revenues 9-14'!A75</f>
        <v>Total Food Service</v>
      </c>
      <c r="E94" s="819"/>
      <c r="F94" s="1679">
        <f>'Revenues 9-14'!C75</f>
        <v>741038</v>
      </c>
      <c r="G94" s="825"/>
    </row>
    <row r="95" spans="1:7" x14ac:dyDescent="0.2">
      <c r="A95" s="821" t="s">
        <v>142</v>
      </c>
      <c r="B95" s="821" t="s">
        <v>177</v>
      </c>
      <c r="C95" s="823">
        <v>1700</v>
      </c>
      <c r="D95" s="831" t="str">
        <f>'Revenues 9-14'!A82</f>
        <v>Total District/School Activity Income</v>
      </c>
      <c r="E95" s="819"/>
      <c r="F95" s="1679">
        <f>SUM('Revenues 9-14'!C82,'Revenues 9-14'!D82)</f>
        <v>48880</v>
      </c>
      <c r="G95" s="825"/>
    </row>
    <row r="96" spans="1:7" x14ac:dyDescent="0.2">
      <c r="A96" s="821" t="s">
        <v>478</v>
      </c>
      <c r="B96" s="821" t="s">
        <v>178</v>
      </c>
      <c r="C96" s="823">
        <f>'Revenues 9-14'!B84</f>
        <v>1811</v>
      </c>
      <c r="D96" s="824" t="str">
        <f>'Revenues 9-14'!A84</f>
        <v>Rentals - Regular Textbooks</v>
      </c>
      <c r="E96" s="819"/>
      <c r="F96" s="1679">
        <f>'Revenues 9-14'!C84</f>
        <v>341858</v>
      </c>
      <c r="G96" s="825"/>
    </row>
    <row r="97" spans="1:7" x14ac:dyDescent="0.2">
      <c r="A97" s="821" t="s">
        <v>478</v>
      </c>
      <c r="B97" s="821" t="s">
        <v>179</v>
      </c>
      <c r="C97" s="823">
        <f>'Revenues 9-14'!B87</f>
        <v>1819</v>
      </c>
      <c r="D97" s="824" t="str">
        <f>'Revenues 9-14'!A87</f>
        <v>Rentals - Other (Describe &amp; Itemize)</v>
      </c>
      <c r="E97" s="819"/>
      <c r="F97" s="1679">
        <f>'Revenues 9-14'!C87</f>
        <v>0</v>
      </c>
      <c r="G97" s="825"/>
    </row>
    <row r="98" spans="1:7" x14ac:dyDescent="0.2">
      <c r="A98" s="821" t="s">
        <v>478</v>
      </c>
      <c r="B98" s="821" t="s">
        <v>180</v>
      </c>
      <c r="C98" s="823">
        <f>'Revenues 9-14'!B88</f>
        <v>1821</v>
      </c>
      <c r="D98" s="824" t="str">
        <f>'Revenues 9-14'!A88</f>
        <v>Sales - Regular Textbooks</v>
      </c>
      <c r="E98" s="819"/>
      <c r="F98" s="1679">
        <f>'Revenues 9-14'!C88</f>
        <v>0</v>
      </c>
      <c r="G98" s="825"/>
    </row>
    <row r="99" spans="1:7" x14ac:dyDescent="0.2">
      <c r="A99" s="821" t="s">
        <v>478</v>
      </c>
      <c r="B99" s="821" t="s">
        <v>181</v>
      </c>
      <c r="C99" s="823">
        <f>'Revenues 9-14'!B91</f>
        <v>1829</v>
      </c>
      <c r="D99" s="824" t="str">
        <f>'Revenues 9-14'!A91</f>
        <v>Sales - Other (Describe &amp; Itemize)</v>
      </c>
      <c r="E99" s="819"/>
      <c r="F99" s="1679">
        <f>'Revenues 9-14'!C91</f>
        <v>0</v>
      </c>
      <c r="G99" s="825"/>
    </row>
    <row r="100" spans="1:7" x14ac:dyDescent="0.2">
      <c r="A100" s="821" t="s">
        <v>478</v>
      </c>
      <c r="B100" s="821" t="s">
        <v>182</v>
      </c>
      <c r="C100" s="823">
        <f>'Revenues 9-14'!B92</f>
        <v>1890</v>
      </c>
      <c r="D100" s="824" t="str">
        <f>'Revenues 9-14'!A92</f>
        <v>Other (Describe &amp; Itemize)</v>
      </c>
      <c r="E100" s="819"/>
      <c r="F100" s="1679">
        <f>'Revenues 9-14'!C92</f>
        <v>0</v>
      </c>
      <c r="G100" s="825"/>
    </row>
    <row r="101" spans="1:7" x14ac:dyDescent="0.2">
      <c r="A101" s="821" t="s">
        <v>142</v>
      </c>
      <c r="B101" s="821" t="s">
        <v>183</v>
      </c>
      <c r="C101" s="823">
        <f>'Revenues 9-14'!B95</f>
        <v>1910</v>
      </c>
      <c r="D101" s="824" t="str">
        <f>'Revenues 9-14'!A95</f>
        <v>Rentals</v>
      </c>
      <c r="E101" s="819"/>
      <c r="F101" s="1679">
        <f>SUM('Revenues 9-14'!C95:D95)</f>
        <v>112619</v>
      </c>
      <c r="G101" s="825"/>
    </row>
    <row r="102" spans="1:7" x14ac:dyDescent="0.2">
      <c r="A102" s="821" t="s">
        <v>523</v>
      </c>
      <c r="B102" s="821" t="s">
        <v>184</v>
      </c>
      <c r="C102" s="823">
        <f>'Revenues 9-14'!B98</f>
        <v>1940</v>
      </c>
      <c r="D102" s="824" t="str">
        <f>'Revenues 9-14'!A98</f>
        <v>Services Provided Other Districts</v>
      </c>
      <c r="E102" s="819"/>
      <c r="F102" s="1679">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79">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79">
        <f>('Revenues 9-14'!C106)</f>
        <v>0</v>
      </c>
      <c r="G104" s="825"/>
    </row>
    <row r="105" spans="1:7" x14ac:dyDescent="0.2">
      <c r="A105" s="821" t="s">
        <v>523</v>
      </c>
      <c r="B105" s="821" t="s">
        <v>841</v>
      </c>
      <c r="C105" s="826">
        <v>3100</v>
      </c>
      <c r="D105" s="832" t="str">
        <f>'Revenues 9-14'!A131</f>
        <v>Total Special Education</v>
      </c>
      <c r="E105" s="819"/>
      <c r="F105" s="1679">
        <f>SUM('Revenues 9-14'!C131:D131,'Revenues 9-14'!F131)</f>
        <v>3349714</v>
      </c>
      <c r="G105" s="825"/>
    </row>
    <row r="106" spans="1:7" x14ac:dyDescent="0.2">
      <c r="A106" s="821" t="s">
        <v>693</v>
      </c>
      <c r="B106" s="821" t="s">
        <v>1482</v>
      </c>
      <c r="C106" s="833">
        <v>3200</v>
      </c>
      <c r="D106" s="824" t="str">
        <f>'Revenues 9-14'!A140</f>
        <v>Total Career and Technical Education</v>
      </c>
      <c r="E106" s="819"/>
      <c r="F106" s="1679">
        <f>SUM('Revenues 9-14'!C140,'Revenues 9-14'!D140,'Revenues 9-14'!G140)</f>
        <v>87283</v>
      </c>
      <c r="G106" s="825"/>
    </row>
    <row r="107" spans="1:7" x14ac:dyDescent="0.2">
      <c r="A107" s="834" t="s">
        <v>684</v>
      </c>
      <c r="B107" s="821" t="s">
        <v>842</v>
      </c>
      <c r="C107" s="833">
        <v>3300</v>
      </c>
      <c r="D107" s="824" t="str">
        <f>'Revenues 9-14'!A144</f>
        <v>Total Bilingual Ed</v>
      </c>
      <c r="E107" s="819"/>
      <c r="F107" s="1679">
        <f>SUM('Revenues 9-14'!C144,'Revenues 9-14'!G144)</f>
        <v>362865</v>
      </c>
      <c r="G107" s="825"/>
    </row>
    <row r="108" spans="1:7" x14ac:dyDescent="0.2">
      <c r="A108" s="821" t="s">
        <v>478</v>
      </c>
      <c r="B108" s="821" t="s">
        <v>843</v>
      </c>
      <c r="C108" s="833">
        <f>'Revenues 9-14'!B145</f>
        <v>3360</v>
      </c>
      <c r="D108" s="824" t="str">
        <f>'Revenues 9-14'!A145</f>
        <v>State Free Lunch &amp; Breakfast</v>
      </c>
      <c r="E108" s="819"/>
      <c r="F108" s="1679">
        <f>'Revenues 9-14'!C145</f>
        <v>50923</v>
      </c>
      <c r="G108" s="825"/>
    </row>
    <row r="109" spans="1:7" x14ac:dyDescent="0.2">
      <c r="A109" s="821" t="s">
        <v>693</v>
      </c>
      <c r="B109" s="821" t="s">
        <v>844</v>
      </c>
      <c r="C109" s="833">
        <f>'Revenues 9-14'!B146</f>
        <v>3365</v>
      </c>
      <c r="D109" s="824" t="str">
        <f>'Revenues 9-14'!A146</f>
        <v>School Breakfast Initiative</v>
      </c>
      <c r="E109" s="819"/>
      <c r="F109" s="1679">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79">
        <f>SUM('Revenues 9-14'!C147,'Revenues 9-14'!D147)</f>
        <v>81164</v>
      </c>
      <c r="G110" s="825"/>
    </row>
    <row r="111" spans="1:7" x14ac:dyDescent="0.2">
      <c r="A111" s="821" t="s">
        <v>688</v>
      </c>
      <c r="B111" s="821" t="s">
        <v>801</v>
      </c>
      <c r="C111" s="835">
        <v>3500</v>
      </c>
      <c r="D111" s="824" t="str">
        <f>'Revenues 9-14'!A154</f>
        <v>Total Transportation</v>
      </c>
      <c r="E111" s="819"/>
      <c r="F111" s="1679">
        <f>SUM('Revenues 9-14'!C154,'Revenues 9-14'!D154,'Revenues 9-14'!F154,'Revenues 9-14'!G154)</f>
        <v>2943654</v>
      </c>
      <c r="G111" s="825"/>
    </row>
    <row r="112" spans="1:7" x14ac:dyDescent="0.2">
      <c r="A112" s="821" t="s">
        <v>478</v>
      </c>
      <c r="B112" s="821" t="s">
        <v>846</v>
      </c>
      <c r="C112" s="833">
        <f>'Revenues 9-14'!B155</f>
        <v>3610</v>
      </c>
      <c r="D112" s="824" t="str">
        <f>'Revenues 9-14'!A155</f>
        <v>Learning Improvement - Change Grants</v>
      </c>
      <c r="E112" s="819"/>
      <c r="F112" s="1679">
        <f>'Revenues 9-14'!C155</f>
        <v>0</v>
      </c>
      <c r="G112" s="825"/>
    </row>
    <row r="113" spans="1:7" x14ac:dyDescent="0.2">
      <c r="A113" s="821" t="s">
        <v>688</v>
      </c>
      <c r="B113" s="821" t="s">
        <v>847</v>
      </c>
      <c r="C113" s="833">
        <f>'Revenues 9-14'!B156</f>
        <v>3660</v>
      </c>
      <c r="D113" s="824" t="str">
        <f>'Revenues 9-14'!A156</f>
        <v>Scientific Literacy</v>
      </c>
      <c r="E113" s="819"/>
      <c r="F113" s="1679">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79">
        <f>SUM('Revenues 9-14'!C157,'Revenues 9-14'!F157,'Revenues 9-14'!G157)</f>
        <v>225606</v>
      </c>
      <c r="G114" s="825"/>
    </row>
    <row r="115" spans="1:7" x14ac:dyDescent="0.2">
      <c r="A115" s="821" t="s">
        <v>5</v>
      </c>
      <c r="B115" s="821" t="s">
        <v>185</v>
      </c>
      <c r="C115" s="833">
        <f>'Revenues 9-14'!B159</f>
        <v>3715</v>
      </c>
      <c r="D115" s="824" t="str">
        <f>'Revenues 9-14'!A159</f>
        <v>Reading Improvement Block Grant</v>
      </c>
      <c r="E115" s="819"/>
      <c r="F115" s="1679">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79">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79">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92">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79">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79">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93">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93">
        <f>SUM('Revenues 9-14'!C166:G166)</f>
        <v>0</v>
      </c>
      <c r="G122" s="825"/>
    </row>
    <row r="123" spans="1:7" x14ac:dyDescent="0.2">
      <c r="A123" s="836" t="s">
        <v>524</v>
      </c>
      <c r="B123" s="836" t="s">
        <v>852</v>
      </c>
      <c r="C123" s="837">
        <f>'Revenues 9-14'!B167</f>
        <v>3815</v>
      </c>
      <c r="D123" s="838" t="str">
        <f>'Revenues 9-14'!A167</f>
        <v>State Charter Schools</v>
      </c>
      <c r="E123" s="819"/>
      <c r="F123" s="1793">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79">
        <f>'Revenues 9-14'!D170</f>
        <v>0</v>
      </c>
      <c r="G124" s="843"/>
    </row>
    <row r="125" spans="1:7" x14ac:dyDescent="0.2">
      <c r="A125" s="840" t="s">
        <v>520</v>
      </c>
      <c r="B125" s="840" t="s">
        <v>854</v>
      </c>
      <c r="C125" s="841">
        <f>'Revenues 9-14'!B171</f>
        <v>3999</v>
      </c>
      <c r="D125" s="842" t="s">
        <v>563</v>
      </c>
      <c r="E125" s="844"/>
      <c r="F125" s="1679">
        <f>SUM('Revenues 9-14'!C171:G171,'Revenues 9-14'!J171)</f>
        <v>162045</v>
      </c>
      <c r="G125" s="843"/>
    </row>
    <row r="126" spans="1:7" x14ac:dyDescent="0.2">
      <c r="A126" s="840" t="s">
        <v>478</v>
      </c>
      <c r="B126" s="840" t="s">
        <v>855</v>
      </c>
      <c r="C126" s="845">
        <f>'Revenues 9-14'!B180</f>
        <v>4045</v>
      </c>
      <c r="D126" s="842" t="str">
        <f>'Revenues 9-14'!A180 &amp; " (Subtract)"</f>
        <v>Head Start (Subtract)</v>
      </c>
      <c r="E126" s="819"/>
      <c r="F126" s="1679">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79">
        <f>SUM('Revenues 9-14'!C184,'Revenues 9-14'!D184,'Revenues 9-14'!F184,'Revenues 9-14'!G184)</f>
        <v>103241</v>
      </c>
      <c r="G127" s="843"/>
    </row>
    <row r="128" spans="1:7" x14ac:dyDescent="0.2">
      <c r="A128" s="840" t="s">
        <v>688</v>
      </c>
      <c r="B128" s="840" t="s">
        <v>857</v>
      </c>
      <c r="C128" s="845">
        <v>4100</v>
      </c>
      <c r="D128" s="846" t="str">
        <f>'Revenues 9-14'!A191</f>
        <v>Total Title V</v>
      </c>
      <c r="E128" s="819"/>
      <c r="F128" s="1679">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79">
        <f>SUM('Revenues 9-14'!C201,'Revenues 9-14'!G201)</f>
        <v>3716703</v>
      </c>
      <c r="G129" s="843"/>
    </row>
    <row r="130" spans="1:7" x14ac:dyDescent="0.2">
      <c r="A130" s="840" t="s">
        <v>688</v>
      </c>
      <c r="B130" s="840" t="s">
        <v>803</v>
      </c>
      <c r="C130" s="845">
        <v>4300</v>
      </c>
      <c r="D130" s="846" t="str">
        <f>'Revenues 9-14'!A211</f>
        <v>Total Title I</v>
      </c>
      <c r="E130" s="819"/>
      <c r="F130" s="1679">
        <f>SUM('Revenues 9-14'!C211,'Revenues 9-14'!D211,'Revenues 9-14'!F211,'Revenues 9-14'!G211)</f>
        <v>3159926</v>
      </c>
      <c r="G130" s="843"/>
    </row>
    <row r="131" spans="1:7" x14ac:dyDescent="0.2">
      <c r="A131" s="840" t="s">
        <v>688</v>
      </c>
      <c r="B131" s="840" t="s">
        <v>804</v>
      </c>
      <c r="C131" s="845">
        <v>4400</v>
      </c>
      <c r="D131" s="846" t="str">
        <f>'Revenues 9-14'!A216</f>
        <v>Total Title IV</v>
      </c>
      <c r="E131" s="819"/>
      <c r="F131" s="1679">
        <f>SUM('Revenues 9-14'!C216,'Revenues 9-14'!D216,'Revenues 9-14'!F216,'Revenues 9-14'!G216)</f>
        <v>0</v>
      </c>
      <c r="G131" s="843"/>
    </row>
    <row r="132" spans="1:7" x14ac:dyDescent="0.2">
      <c r="A132" s="840" t="s">
        <v>688</v>
      </c>
      <c r="B132" s="840" t="s">
        <v>190</v>
      </c>
      <c r="C132" s="845">
        <f>'Revenues 9-14'!B220</f>
        <v>4620</v>
      </c>
      <c r="D132" s="846" t="str">
        <f>'Revenues 9-14'!A220</f>
        <v>Fed - Spec Education - IDEA - Flow Through</v>
      </c>
      <c r="E132" s="819"/>
      <c r="F132" s="1679">
        <f>SUM('Revenues 9-14'!C220:D220,'Revenues 9-14'!F220:G220)</f>
        <v>2422268</v>
      </c>
      <c r="G132" s="843"/>
    </row>
    <row r="133" spans="1:7" x14ac:dyDescent="0.2">
      <c r="A133" s="840" t="s">
        <v>688</v>
      </c>
      <c r="B133" s="840" t="s">
        <v>191</v>
      </c>
      <c r="C133" s="845">
        <f>'Revenues 9-14'!B221</f>
        <v>4625</v>
      </c>
      <c r="D133" s="846" t="str">
        <f>'Revenues 9-14'!A221</f>
        <v>Fed - Spec Education - IDEA - Room &amp; Board</v>
      </c>
      <c r="E133" s="819"/>
      <c r="F133" s="1679">
        <f>SUM('Revenues 9-14'!C221,'Revenues 9-14'!D221,'Revenues 9-14'!F221,'Revenues 9-14'!G221)</f>
        <v>566900</v>
      </c>
      <c r="G133" s="843"/>
    </row>
    <row r="134" spans="1:7" x14ac:dyDescent="0.2">
      <c r="A134" s="840" t="s">
        <v>688</v>
      </c>
      <c r="B134" s="840" t="s">
        <v>858</v>
      </c>
      <c r="C134" s="845">
        <f>'Revenues 9-14'!B222</f>
        <v>4630</v>
      </c>
      <c r="D134" s="846" t="str">
        <f>'Revenues 9-14'!A222</f>
        <v>Fed - Spec Education - IDEA - Discretionary</v>
      </c>
      <c r="E134" s="819"/>
      <c r="F134" s="1679">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79">
        <f>SUM('Revenues 9-14'!C223:D223,'Revenues 9-14'!F223:G223)</f>
        <v>0</v>
      </c>
      <c r="G135" s="843"/>
    </row>
    <row r="136" spans="1:7" x14ac:dyDescent="0.2">
      <c r="A136" s="840" t="s">
        <v>693</v>
      </c>
      <c r="B136" s="840" t="s">
        <v>806</v>
      </c>
      <c r="C136" s="845">
        <v>4700</v>
      </c>
      <c r="D136" s="842" t="str">
        <f>'Revenues 9-14'!A228</f>
        <v>Total CTE - Perkins</v>
      </c>
      <c r="E136" s="819"/>
      <c r="F136" s="1679">
        <f>SUM('Revenues 9-14'!C228,'Revenues 9-14'!D228,'Revenues 9-14'!G228)</f>
        <v>0</v>
      </c>
      <c r="G136" s="843">
        <v>6303</v>
      </c>
    </row>
    <row r="137" spans="1:7" s="780" customFormat="1" hidden="1" x14ac:dyDescent="0.2">
      <c r="A137" s="847" t="s">
        <v>215</v>
      </c>
      <c r="B137" s="847" t="s">
        <v>1483</v>
      </c>
      <c r="C137" s="848" t="s">
        <v>216</v>
      </c>
      <c r="D137" s="849" t="str">
        <f>'Revenues 9-14'!A231</f>
        <v>ARRA - Title I - Low Income</v>
      </c>
      <c r="E137" s="850"/>
      <c r="F137" s="1793">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79">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79">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79">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79">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79">
        <v>0</v>
      </c>
      <c r="G142" s="818"/>
    </row>
    <row r="143" spans="1:7" s="780" customFormat="1" hidden="1" x14ac:dyDescent="0.2">
      <c r="A143" s="847" t="s">
        <v>215</v>
      </c>
      <c r="B143" s="847" t="s">
        <v>228</v>
      </c>
      <c r="C143" s="848" t="s">
        <v>225</v>
      </c>
      <c r="D143" s="849" t="str">
        <f>'Revenues 9-14'!A237</f>
        <v>ARRA - IDEA - Part B - Flow-Through</v>
      </c>
      <c r="E143" s="850"/>
      <c r="F143" s="1679">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79">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79">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79">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79">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79">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79">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79">
        <f>SUM('Revenues 9-14'!C247:G247,'Revenues 9-14'!J247)</f>
        <v>1415923</v>
      </c>
      <c r="G150" s="818"/>
    </row>
    <row r="151" spans="1:7" s="780" customFormat="1" hidden="1" x14ac:dyDescent="0.2">
      <c r="A151" s="847" t="s">
        <v>215</v>
      </c>
      <c r="B151" s="847" t="s">
        <v>240</v>
      </c>
      <c r="C151" s="848" t="s">
        <v>238</v>
      </c>
      <c r="D151" s="849" t="str">
        <f>'Revenues 9-14'!A249</f>
        <v>Other ARRA Funds - II</v>
      </c>
      <c r="E151" s="850"/>
      <c r="F151" s="1679">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79">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79">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79">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79">
        <v>0</v>
      </c>
      <c r="G155" s="818"/>
    </row>
    <row r="156" spans="1:7" s="780" customFormat="1" hidden="1" x14ac:dyDescent="0.2">
      <c r="A156" s="847" t="s">
        <v>215</v>
      </c>
      <c r="B156" s="847" t="s">
        <v>250</v>
      </c>
      <c r="C156" s="848" t="s">
        <v>247</v>
      </c>
      <c r="D156" s="849" t="str">
        <f>'Revenues 9-14'!A254</f>
        <v>Other ARRA Funds VII</v>
      </c>
      <c r="E156" s="850"/>
      <c r="F156" s="1679">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79">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79">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79">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79">
        <f>SUM('Revenues 9-14'!C258:G258,'Revenues 9-14'!J258)</f>
        <v>0</v>
      </c>
      <c r="G160" s="818"/>
    </row>
    <row r="161" spans="1:7" s="780" customFormat="1" x14ac:dyDescent="0.2">
      <c r="A161" s="851" t="s">
        <v>520</v>
      </c>
      <c r="B161" s="852" t="s">
        <v>1563</v>
      </c>
      <c r="C161" s="853" t="s">
        <v>895</v>
      </c>
      <c r="D161" s="854" t="s">
        <v>807</v>
      </c>
      <c r="E161" s="855"/>
      <c r="F161" s="1679">
        <f>SUM(F137:F160)</f>
        <v>1415923</v>
      </c>
      <c r="G161" s="818"/>
    </row>
    <row r="162" spans="1:7" s="780" customFormat="1" x14ac:dyDescent="0.2">
      <c r="A162" s="851" t="s">
        <v>478</v>
      </c>
      <c r="B162" s="852" t="s">
        <v>1500</v>
      </c>
      <c r="C162" s="853" t="s">
        <v>1498</v>
      </c>
      <c r="D162" s="854" t="s">
        <v>1499</v>
      </c>
      <c r="E162" s="855"/>
      <c r="F162" s="1679">
        <f>SUM('Revenues 9-14'!C260)</f>
        <v>0</v>
      </c>
      <c r="G162" s="818"/>
    </row>
    <row r="163" spans="1:7" s="780" customFormat="1" x14ac:dyDescent="0.2">
      <c r="A163" s="851" t="s">
        <v>520</v>
      </c>
      <c r="B163" s="852" t="s">
        <v>1540</v>
      </c>
      <c r="C163" s="853" t="s">
        <v>1541</v>
      </c>
      <c r="D163" s="854" t="s">
        <v>1542</v>
      </c>
      <c r="E163" s="855"/>
      <c r="F163" s="1679">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79">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79">
        <f>SUM('Revenues 9-14'!C263,'Revenues 9-14'!F263,'Revenues 9-14'!G263)</f>
        <v>33772</v>
      </c>
      <c r="G165" s="856">
        <v>6306</v>
      </c>
    </row>
    <row r="166" spans="1:7" x14ac:dyDescent="0.2">
      <c r="A166" s="840" t="s">
        <v>5</v>
      </c>
      <c r="B166" s="840" t="s">
        <v>1501</v>
      </c>
      <c r="C166" s="845">
        <f>'Revenues 9-14'!B264</f>
        <v>4909</v>
      </c>
      <c r="D166" s="842" t="str">
        <f>'Revenues 9-14'!A264</f>
        <v>Title III - Language Inst Program - Limited Eng (LIPLEP)</v>
      </c>
      <c r="E166" s="819"/>
      <c r="F166" s="1679">
        <f>SUM('Revenues 9-14'!C264,'Revenues 9-14'!F264,'Revenues 9-14'!G264)</f>
        <v>84581</v>
      </c>
      <c r="G166" s="856"/>
    </row>
    <row r="167" spans="1:7" x14ac:dyDescent="0.2">
      <c r="A167" s="840" t="s">
        <v>5</v>
      </c>
      <c r="B167" s="840" t="s">
        <v>1556</v>
      </c>
      <c r="C167" s="845">
        <f>'Revenues 9-14'!B265</f>
        <v>4910</v>
      </c>
      <c r="D167" s="842" t="str">
        <f>'Revenues 9-14'!A265</f>
        <v>Learn &amp; Serve America</v>
      </c>
      <c r="E167" s="819"/>
      <c r="F167" s="1679">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79">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93">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93">
        <f>SUM('Revenues 9-14'!C268,'Revenues 9-14'!D268,'Revenues 9-14'!F268,'Revenues 9-14'!G268)</f>
        <v>372874</v>
      </c>
      <c r="G170" s="843"/>
    </row>
    <row r="171" spans="1:7" x14ac:dyDescent="0.2">
      <c r="A171" s="840" t="s">
        <v>688</v>
      </c>
      <c r="B171" s="840" t="s">
        <v>863</v>
      </c>
      <c r="C171" s="845">
        <f>'Revenues 9-14'!B269</f>
        <v>4960</v>
      </c>
      <c r="D171" s="842" t="str">
        <f>'Revenues 9-14'!A269</f>
        <v>Federal Charter Schools</v>
      </c>
      <c r="E171" s="819"/>
      <c r="F171" s="1679">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79">
        <f>SUM('Revenues 9-14'!C270:D270,'Revenues 9-14'!F270:G270)</f>
        <v>142544</v>
      </c>
      <c r="G172" s="860">
        <v>6320</v>
      </c>
    </row>
    <row r="173" spans="1:7" x14ac:dyDescent="0.2">
      <c r="A173" s="840" t="s">
        <v>688</v>
      </c>
      <c r="B173" s="840" t="s">
        <v>1502</v>
      </c>
      <c r="C173" s="845">
        <f>'Revenues 9-14'!B271</f>
        <v>4992</v>
      </c>
      <c r="D173" s="846" t="str">
        <f>'Revenues 9-14'!A271</f>
        <v>Medicaid Matching Funds - Fee-for-Service Program</v>
      </c>
      <c r="E173" s="819"/>
      <c r="F173" s="1679">
        <f>SUM('Revenues 9-14'!C271:D271,'Revenues 9-14'!F271:G271)</f>
        <v>505071</v>
      </c>
      <c r="G173" s="860"/>
    </row>
    <row r="174" spans="1:7" x14ac:dyDescent="0.2">
      <c r="A174" s="861" t="s">
        <v>688</v>
      </c>
      <c r="B174" s="857" t="s">
        <v>1557</v>
      </c>
      <c r="C174" s="858">
        <f>'Revenues 9-14'!B272</f>
        <v>4999</v>
      </c>
      <c r="D174" s="859" t="str">
        <f>'Revenues 9-14'!A272</f>
        <v>Other Restricted Revenue from Federal Sources (Describe &amp; Itemize)</v>
      </c>
      <c r="E174" s="819"/>
      <c r="F174" s="1679">
        <f>SUM('Revenues 9-14'!C272:D272,'Revenues 9-14'!F272:G272)</f>
        <v>49495</v>
      </c>
      <c r="G174" s="840"/>
    </row>
    <row r="175" spans="1:7" x14ac:dyDescent="0.2">
      <c r="A175" s="1804" t="s">
        <v>5</v>
      </c>
      <c r="B175" s="1805" t="s">
        <v>2054</v>
      </c>
      <c r="C175" s="1806">
        <v>3100</v>
      </c>
      <c r="D175" s="1807" t="s">
        <v>2057</v>
      </c>
      <c r="E175" s="819"/>
      <c r="F175" s="1791">
        <v>3712105.6</v>
      </c>
      <c r="G175" s="840"/>
    </row>
    <row r="176" spans="1:7" x14ac:dyDescent="0.2">
      <c r="A176" s="1804" t="s">
        <v>684</v>
      </c>
      <c r="B176" s="1805" t="s">
        <v>2054</v>
      </c>
      <c r="C176" s="1806">
        <v>3300</v>
      </c>
      <c r="D176" s="1807" t="s">
        <v>2058</v>
      </c>
      <c r="E176" s="819"/>
      <c r="F176" s="1791">
        <v>370922.11</v>
      </c>
      <c r="G176" s="840"/>
    </row>
    <row r="177" spans="1:7" ht="6" customHeight="1" x14ac:dyDescent="0.2">
      <c r="A177" s="840"/>
      <c r="B177" s="840"/>
      <c r="C177" s="862"/>
      <c r="D177" s="840"/>
      <c r="E177" s="819"/>
      <c r="F177" s="863"/>
      <c r="G177" s="860"/>
    </row>
    <row r="178" spans="1:7" x14ac:dyDescent="0.2">
      <c r="A178" s="1660"/>
      <c r="B178" s="1674"/>
      <c r="C178" s="1675"/>
      <c r="D178" s="1676" t="s">
        <v>2010</v>
      </c>
      <c r="E178" s="1677" t="s">
        <v>1014</v>
      </c>
      <c r="F178" s="1678">
        <f>SUM(F84:F136,F161:F176)</f>
        <v>25883070.710000001</v>
      </c>
    </row>
    <row r="179" spans="1:7" ht="12" customHeight="1" x14ac:dyDescent="0.2">
      <c r="A179" s="1660"/>
      <c r="B179" s="1674"/>
      <c r="C179" s="1675"/>
      <c r="D179" s="1676" t="s">
        <v>2011</v>
      </c>
      <c r="E179" s="1677"/>
      <c r="F179" s="1679">
        <f>'PCTC-OEPP 27-28'!F77-F178</f>
        <v>102338261.28999999</v>
      </c>
    </row>
    <row r="180" spans="1:7" ht="12" customHeight="1" x14ac:dyDescent="0.2">
      <c r="A180" s="1660"/>
      <c r="B180" s="1674"/>
      <c r="C180" s="1675"/>
      <c r="D180" s="1676" t="s">
        <v>1920</v>
      </c>
      <c r="E180" s="1677"/>
      <c r="F180" s="1679">
        <f>'Cap Outlay Deprec 26'!I18</f>
        <v>4409915.2</v>
      </c>
    </row>
    <row r="181" spans="1:7" ht="12" customHeight="1" x14ac:dyDescent="0.2">
      <c r="A181" s="1660"/>
      <c r="B181" s="1674"/>
      <c r="C181" s="1675"/>
      <c r="D181" s="1676" t="s">
        <v>2012</v>
      </c>
      <c r="E181" s="1677"/>
      <c r="F181" s="1679">
        <f>F179+F180</f>
        <v>106748176.48999999</v>
      </c>
    </row>
    <row r="182" spans="1:7" ht="12" customHeight="1" x14ac:dyDescent="0.2">
      <c r="A182" s="1660"/>
      <c r="B182" s="1680"/>
      <c r="C182" s="1675"/>
      <c r="D182" s="1676" t="str">
        <f>D78</f>
        <v>9 Month ADA from District Average Daily Attendance/Prior General State Aid Inquiry 2017-2018</v>
      </c>
      <c r="E182" s="1677"/>
      <c r="F182" s="1681">
        <f>'PCTC-OEPP 27-28'!F78</f>
        <v>8924.7199999999993</v>
      </c>
      <c r="G182" s="843"/>
    </row>
    <row r="183" spans="1:7" ht="12" customHeight="1" thickBot="1" x14ac:dyDescent="0.25">
      <c r="A183" s="1660"/>
      <c r="B183" s="1680"/>
      <c r="C183" s="1675"/>
      <c r="D183" s="1676" t="s">
        <v>2013</v>
      </c>
      <c r="E183" s="1677" t="s">
        <v>1625</v>
      </c>
      <c r="F183" s="1682">
        <f>F181/F182</f>
        <v>11960.955244534283</v>
      </c>
      <c r="G183" s="769">
        <v>6323</v>
      </c>
    </row>
    <row r="184" spans="1:7" ht="12" thickTop="1" x14ac:dyDescent="0.2">
      <c r="B184" s="843"/>
      <c r="C184" s="862"/>
      <c r="D184" s="843"/>
      <c r="E184" s="862"/>
      <c r="F184" s="843"/>
      <c r="G184" s="864">
        <v>6326</v>
      </c>
    </row>
    <row r="185" spans="1:7" ht="12.2" customHeight="1" x14ac:dyDescent="0.2">
      <c r="A185" s="843" t="s">
        <v>2056</v>
      </c>
      <c r="B185" s="843"/>
      <c r="C185" s="862"/>
      <c r="D185" s="843"/>
      <c r="E185" s="862"/>
      <c r="F185" s="843"/>
      <c r="G185" s="843"/>
    </row>
    <row r="186" spans="1:7" s="1808" customFormat="1" ht="12.2" customHeight="1" x14ac:dyDescent="0.2">
      <c r="A186" s="1808" t="s">
        <v>2061</v>
      </c>
      <c r="B186" s="1809"/>
      <c r="C186" s="1810"/>
      <c r="D186" s="1809"/>
      <c r="E186" s="1810"/>
      <c r="F186" s="1809"/>
      <c r="G186" s="1809"/>
    </row>
    <row r="187" spans="1:7" s="1808" customFormat="1" ht="12.2" customHeight="1" x14ac:dyDescent="0.2">
      <c r="A187" s="1811" t="s">
        <v>2062</v>
      </c>
      <c r="C187" s="1810"/>
      <c r="D187" s="1809"/>
      <c r="E187" s="1810"/>
      <c r="F187" s="1809"/>
      <c r="G187" s="1809"/>
    </row>
    <row r="188" spans="1:7" ht="12" customHeight="1" x14ac:dyDescent="0.2">
      <c r="C188" s="862"/>
      <c r="D188" s="843"/>
      <c r="E188" s="862"/>
      <c r="F188" s="843"/>
      <c r="G188" s="843"/>
    </row>
    <row r="189" spans="1:7" x14ac:dyDescent="0.2">
      <c r="A189" s="1812" t="s">
        <v>2060</v>
      </c>
      <c r="B189" s="1813" t="s">
        <v>2059</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4"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D27" sqref="D27"/>
    </sheetView>
  </sheetViews>
  <sheetFormatPr defaultColWidth="9.140625" defaultRowHeight="15" x14ac:dyDescent="0.25"/>
  <cols>
    <col min="1" max="1" width="52" style="1469" customWidth="1"/>
    <col min="2" max="2" width="16.42578125" style="1470" bestFit="1" customWidth="1"/>
    <col min="3" max="3" width="33.7109375" style="1470" customWidth="1"/>
    <col min="4" max="4" width="16.28515625" style="1471" customWidth="1"/>
    <col min="5" max="5" width="0.140625" style="1471" hidden="1" customWidth="1"/>
    <col min="6" max="6" width="23.5703125" style="1471" customWidth="1"/>
    <col min="7" max="7" width="23.28515625" style="1470" customWidth="1"/>
    <col min="8" max="16384" width="9.140625" style="1460"/>
  </cols>
  <sheetData>
    <row r="1" spans="1:7" ht="15" customHeight="1" x14ac:dyDescent="0.25">
      <c r="A1" s="1574" t="s">
        <v>1936</v>
      </c>
      <c r="B1" s="1575"/>
      <c r="C1" s="1575"/>
      <c r="D1" s="1575"/>
      <c r="E1" s="1575"/>
      <c r="F1" s="1575"/>
      <c r="G1" s="1575"/>
    </row>
    <row r="2" spans="1:7" x14ac:dyDescent="0.25">
      <c r="A2" s="1572"/>
      <c r="B2" s="1572"/>
      <c r="C2" s="1573" t="s">
        <v>1035</v>
      </c>
      <c r="D2" s="1572"/>
      <c r="E2" s="1572"/>
      <c r="F2" s="1572"/>
      <c r="G2" s="1572"/>
    </row>
    <row r="3" spans="1:7" ht="5.25" customHeight="1" x14ac:dyDescent="0.25">
      <c r="A3" s="1472"/>
      <c r="B3" s="1472"/>
      <c r="C3" s="1472"/>
      <c r="D3" s="1472"/>
      <c r="E3" s="1472"/>
      <c r="F3" s="1472"/>
      <c r="G3" s="1472"/>
    </row>
    <row r="4" spans="1:7" ht="18.75" customHeight="1" x14ac:dyDescent="0.25">
      <c r="A4" s="2340" t="s">
        <v>1921</v>
      </c>
      <c r="B4" s="2341"/>
      <c r="C4" s="2341"/>
      <c r="D4" s="2341"/>
      <c r="E4" s="2341"/>
      <c r="F4" s="2341"/>
      <c r="G4" s="2342"/>
    </row>
    <row r="5" spans="1:7" x14ac:dyDescent="0.25">
      <c r="A5" s="2343"/>
      <c r="B5" s="2344"/>
      <c r="C5" s="2344"/>
      <c r="D5" s="2344"/>
      <c r="E5" s="2344"/>
      <c r="F5" s="2344"/>
      <c r="G5" s="2345"/>
    </row>
    <row r="6" spans="1:7" ht="18.75" x14ac:dyDescent="0.25">
      <c r="A6" s="1461" t="s">
        <v>1922</v>
      </c>
      <c r="B6" s="1462"/>
      <c r="C6" s="1462"/>
      <c r="D6" s="1462"/>
      <c r="E6" s="1462"/>
      <c r="F6" s="1462"/>
      <c r="G6" s="1463"/>
    </row>
    <row r="7" spans="1:7" ht="30.75" customHeight="1" x14ac:dyDescent="0.25">
      <c r="A7" s="2346" t="s">
        <v>2071</v>
      </c>
      <c r="B7" s="2347"/>
      <c r="C7" s="2347"/>
      <c r="D7" s="2347"/>
      <c r="E7" s="2347"/>
      <c r="F7" s="2347"/>
      <c r="G7" s="2348"/>
    </row>
    <row r="8" spans="1:7" ht="15.75" customHeight="1" x14ac:dyDescent="0.25">
      <c r="A8" s="2349" t="s">
        <v>2020</v>
      </c>
      <c r="B8" s="2350"/>
      <c r="C8" s="2350"/>
      <c r="D8" s="2350"/>
      <c r="E8" s="2350"/>
      <c r="F8" s="2350"/>
      <c r="G8" s="2351"/>
    </row>
    <row r="9" spans="1:7" ht="35.25" customHeight="1" x14ac:dyDescent="0.25">
      <c r="A9" s="2346" t="s">
        <v>2019</v>
      </c>
      <c r="B9" s="2347"/>
      <c r="C9" s="2347"/>
      <c r="D9" s="2347"/>
      <c r="E9" s="2347"/>
      <c r="F9" s="2347"/>
      <c r="G9" s="2348"/>
    </row>
    <row r="10" spans="1:7" ht="15" customHeight="1" x14ac:dyDescent="0.25">
      <c r="A10" s="1464" t="s">
        <v>1923</v>
      </c>
      <c r="B10" s="1465"/>
      <c r="C10" s="1465"/>
      <c r="D10" s="1465"/>
      <c r="E10" s="1465"/>
      <c r="F10" s="1465"/>
      <c r="G10" s="1466"/>
    </row>
    <row r="11" spans="1:7" ht="17.25" customHeight="1" x14ac:dyDescent="0.25">
      <c r="A11" s="2346" t="s">
        <v>1937</v>
      </c>
      <c r="B11" s="2347"/>
      <c r="C11" s="2347"/>
      <c r="D11" s="2347"/>
      <c r="E11" s="2347"/>
      <c r="F11" s="2347"/>
      <c r="G11" s="2348"/>
    </row>
    <row r="12" spans="1:7" ht="15" customHeight="1" x14ac:dyDescent="0.25">
      <c r="A12" s="1464" t="s">
        <v>1928</v>
      </c>
      <c r="B12" s="1465"/>
      <c r="C12" s="1465"/>
      <c r="D12" s="1465"/>
      <c r="E12" s="1465"/>
      <c r="F12" s="1465"/>
      <c r="G12" s="1466"/>
    </row>
    <row r="13" spans="1:7" ht="32.25" customHeight="1" x14ac:dyDescent="0.25">
      <c r="A13" s="2337" t="s">
        <v>1929</v>
      </c>
      <c r="B13" s="2338"/>
      <c r="C13" s="2338"/>
      <c r="D13" s="2338"/>
      <c r="E13" s="2338"/>
      <c r="F13" s="2338"/>
      <c r="G13" s="2339"/>
    </row>
    <row r="14" spans="1:7" x14ac:dyDescent="0.25">
      <c r="A14" s="1576" t="s">
        <v>1938</v>
      </c>
      <c r="B14" s="1577"/>
      <c r="C14" s="1577"/>
      <c r="D14" s="1577"/>
      <c r="E14" s="1577"/>
      <c r="F14" s="1577"/>
      <c r="G14" s="1578"/>
    </row>
    <row r="15" spans="1:7" ht="61.5" customHeight="1" x14ac:dyDescent="0.25">
      <c r="A15" s="1473" t="s">
        <v>1930</v>
      </c>
      <c r="B15" s="1473" t="s">
        <v>1931</v>
      </c>
      <c r="C15" s="1473" t="s">
        <v>1932</v>
      </c>
      <c r="D15" s="1474" t="s">
        <v>1933</v>
      </c>
      <c r="E15" s="1474" t="s">
        <v>1924</v>
      </c>
      <c r="F15" s="1474" t="s">
        <v>1934</v>
      </c>
      <c r="G15" s="1474" t="s">
        <v>1935</v>
      </c>
    </row>
    <row r="16" spans="1:7" x14ac:dyDescent="0.25">
      <c r="A16" s="1563" t="s">
        <v>1939</v>
      </c>
      <c r="B16" s="1564" t="s">
        <v>1927</v>
      </c>
      <c r="C16" s="1565" t="s">
        <v>1925</v>
      </c>
      <c r="D16" s="1566">
        <v>500000</v>
      </c>
      <c r="E16" s="1566">
        <f>IF(D16&lt;=25000,D16,IF(D16&gt;25000,25000,0))</f>
        <v>25000</v>
      </c>
      <c r="F16" s="1566">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67">
        <f>IF(F16=0,"0",D16-F16)</f>
        <v>475000</v>
      </c>
    </row>
    <row r="17" spans="1:8" x14ac:dyDescent="0.25">
      <c r="A17" s="2006" t="s">
        <v>2243</v>
      </c>
      <c r="B17" s="2007" t="s">
        <v>2244</v>
      </c>
      <c r="C17" s="2008" t="s">
        <v>2245</v>
      </c>
      <c r="D17" s="1728">
        <v>284478</v>
      </c>
      <c r="E17" s="1467">
        <f t="shared" ref="E17:E141" si="1">IF(D17&lt;=25000,D17,IF(D17&gt;25000,25000,0))</f>
        <v>25000</v>
      </c>
      <c r="F17" s="1683">
        <f t="shared" si="0"/>
        <v>25000</v>
      </c>
      <c r="G17" s="1684">
        <f>IF(F17=0,0,D17-F17)</f>
        <v>259478</v>
      </c>
      <c r="H17" s="1562"/>
    </row>
    <row r="18" spans="1:8" x14ac:dyDescent="0.25">
      <c r="A18" s="2006" t="s">
        <v>2246</v>
      </c>
      <c r="B18" s="2007" t="s">
        <v>2247</v>
      </c>
      <c r="C18" s="2008" t="s">
        <v>2248</v>
      </c>
      <c r="D18" s="1728">
        <v>61800</v>
      </c>
      <c r="E18" s="1467">
        <f t="shared" ref="E18:E140" si="2">IF(D18&lt;=25000,D18,IF(D18&gt;25000,25000,0))</f>
        <v>25000</v>
      </c>
      <c r="F18" s="1683">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84">
        <f t="shared" ref="G18:G140" si="4">IF(F18=0,0,D18-F18)</f>
        <v>36800</v>
      </c>
    </row>
    <row r="19" spans="1:8" x14ac:dyDescent="0.25">
      <c r="A19" s="2006" t="s">
        <v>2246</v>
      </c>
      <c r="B19" s="2007" t="s">
        <v>2247</v>
      </c>
      <c r="C19" s="2008" t="s">
        <v>2249</v>
      </c>
      <c r="D19" s="1728">
        <v>32500</v>
      </c>
      <c r="E19" s="1467">
        <f t="shared" si="2"/>
        <v>25000</v>
      </c>
      <c r="F19" s="1683">
        <f t="shared" si="3"/>
        <v>25000</v>
      </c>
      <c r="G19" s="1684">
        <f t="shared" si="4"/>
        <v>7500</v>
      </c>
    </row>
    <row r="20" spans="1:8" x14ac:dyDescent="0.25">
      <c r="A20" s="2006" t="s">
        <v>2250</v>
      </c>
      <c r="B20" s="2007" t="s">
        <v>2251</v>
      </c>
      <c r="C20" s="2008" t="s">
        <v>2252</v>
      </c>
      <c r="D20" s="1728">
        <v>57965</v>
      </c>
      <c r="E20" s="1467">
        <f t="shared" si="2"/>
        <v>25000</v>
      </c>
      <c r="F20" s="1683">
        <f t="shared" si="3"/>
        <v>25000</v>
      </c>
      <c r="G20" s="1684">
        <f t="shared" si="4"/>
        <v>32965</v>
      </c>
    </row>
    <row r="21" spans="1:8" x14ac:dyDescent="0.25">
      <c r="A21" s="2006" t="s">
        <v>2246</v>
      </c>
      <c r="B21" s="2007" t="s">
        <v>2247</v>
      </c>
      <c r="C21" s="2008" t="s">
        <v>2253</v>
      </c>
      <c r="D21" s="1728">
        <v>34000</v>
      </c>
      <c r="E21" s="1467">
        <f t="shared" si="2"/>
        <v>25000</v>
      </c>
      <c r="F21" s="1683">
        <f t="shared" si="3"/>
        <v>25000</v>
      </c>
      <c r="G21" s="1684">
        <f t="shared" si="4"/>
        <v>9000</v>
      </c>
    </row>
    <row r="22" spans="1:8" x14ac:dyDescent="0.25">
      <c r="A22" s="2006" t="s">
        <v>2246</v>
      </c>
      <c r="B22" s="2007" t="s">
        <v>2247</v>
      </c>
      <c r="C22" s="2008" t="s">
        <v>2254</v>
      </c>
      <c r="D22" s="1728">
        <v>50000</v>
      </c>
      <c r="E22" s="1467">
        <f t="shared" si="2"/>
        <v>25000</v>
      </c>
      <c r="F22" s="1683">
        <f t="shared" si="3"/>
        <v>25000</v>
      </c>
      <c r="G22" s="1684">
        <f t="shared" si="4"/>
        <v>25000</v>
      </c>
    </row>
    <row r="23" spans="1:8" x14ac:dyDescent="0.25">
      <c r="A23" s="2006" t="s">
        <v>2246</v>
      </c>
      <c r="B23" s="2007" t="s">
        <v>2247</v>
      </c>
      <c r="C23" s="2008" t="s">
        <v>2255</v>
      </c>
      <c r="D23" s="1728">
        <v>108613</v>
      </c>
      <c r="E23" s="1467">
        <f t="shared" si="2"/>
        <v>25000</v>
      </c>
      <c r="F23" s="1683">
        <f t="shared" si="3"/>
        <v>25000</v>
      </c>
      <c r="G23" s="1684">
        <f t="shared" si="4"/>
        <v>83613</v>
      </c>
    </row>
    <row r="24" spans="1:8" x14ac:dyDescent="0.25">
      <c r="A24" s="2006" t="s">
        <v>2246</v>
      </c>
      <c r="B24" s="2007" t="s">
        <v>2247</v>
      </c>
      <c r="C24" s="2008" t="s">
        <v>2258</v>
      </c>
      <c r="D24" s="1728">
        <v>29075</v>
      </c>
      <c r="E24" s="1467">
        <f t="shared" si="2"/>
        <v>25000</v>
      </c>
      <c r="F24" s="1683">
        <f t="shared" si="3"/>
        <v>25000</v>
      </c>
      <c r="G24" s="1684">
        <f t="shared" si="4"/>
        <v>4075</v>
      </c>
    </row>
    <row r="25" spans="1:8" x14ac:dyDescent="0.25">
      <c r="A25" s="2006" t="s">
        <v>2246</v>
      </c>
      <c r="B25" s="2007" t="s">
        <v>2247</v>
      </c>
      <c r="C25" s="2008" t="s">
        <v>2259</v>
      </c>
      <c r="D25" s="1728">
        <v>45000</v>
      </c>
      <c r="E25" s="1467">
        <f t="shared" si="2"/>
        <v>25000</v>
      </c>
      <c r="F25" s="1683">
        <f t="shared" si="3"/>
        <v>25000</v>
      </c>
      <c r="G25" s="1684">
        <f t="shared" si="4"/>
        <v>20000</v>
      </c>
    </row>
    <row r="26" spans="1:8" x14ac:dyDescent="0.25">
      <c r="A26" s="2006" t="s">
        <v>2256</v>
      </c>
      <c r="B26" s="2007" t="s">
        <v>2257</v>
      </c>
      <c r="C26" s="2008" t="s">
        <v>2260</v>
      </c>
      <c r="D26" s="1728">
        <v>10595</v>
      </c>
      <c r="E26" s="1467">
        <f t="shared" si="2"/>
        <v>10595</v>
      </c>
      <c r="F26" s="1683">
        <f t="shared" si="3"/>
        <v>10595</v>
      </c>
      <c r="G26" s="1684">
        <f t="shared" si="4"/>
        <v>0</v>
      </c>
    </row>
    <row r="27" spans="1:8" x14ac:dyDescent="0.25">
      <c r="A27" s="1568"/>
      <c r="B27" s="1729"/>
      <c r="C27" s="1569"/>
      <c r="D27" s="1728"/>
      <c r="E27" s="1467">
        <f t="shared" si="2"/>
        <v>0</v>
      </c>
      <c r="F27" s="1683">
        <f t="shared" si="3"/>
        <v>0</v>
      </c>
      <c r="G27" s="1684">
        <f t="shared" si="4"/>
        <v>0</v>
      </c>
    </row>
    <row r="28" spans="1:8" x14ac:dyDescent="0.25">
      <c r="A28" s="1568"/>
      <c r="B28" s="1729"/>
      <c r="C28" s="1569"/>
      <c r="D28" s="1728"/>
      <c r="E28" s="1467">
        <f t="shared" si="2"/>
        <v>0</v>
      </c>
      <c r="F28" s="1683">
        <f t="shared" si="3"/>
        <v>0</v>
      </c>
      <c r="G28" s="1684">
        <f t="shared" si="4"/>
        <v>0</v>
      </c>
    </row>
    <row r="29" spans="1:8" x14ac:dyDescent="0.25">
      <c r="A29" s="1568"/>
      <c r="B29" s="1729"/>
      <c r="C29" s="1569"/>
      <c r="D29" s="1728"/>
      <c r="E29" s="1467">
        <f t="shared" si="2"/>
        <v>0</v>
      </c>
      <c r="F29" s="1683">
        <f t="shared" si="3"/>
        <v>0</v>
      </c>
      <c r="G29" s="1684">
        <f t="shared" si="4"/>
        <v>0</v>
      </c>
    </row>
    <row r="30" spans="1:8" x14ac:dyDescent="0.25">
      <c r="A30" s="1568"/>
      <c r="B30" s="1729"/>
      <c r="C30" s="1569"/>
      <c r="D30" s="1728"/>
      <c r="E30" s="1467">
        <f t="shared" si="2"/>
        <v>0</v>
      </c>
      <c r="F30" s="1683">
        <f t="shared" si="3"/>
        <v>0</v>
      </c>
      <c r="G30" s="1684">
        <f t="shared" si="4"/>
        <v>0</v>
      </c>
    </row>
    <row r="31" spans="1:8" x14ac:dyDescent="0.25">
      <c r="A31" s="1568"/>
      <c r="B31" s="1729"/>
      <c r="C31" s="1569"/>
      <c r="D31" s="1728"/>
      <c r="E31" s="1467">
        <f t="shared" si="2"/>
        <v>0</v>
      </c>
      <c r="F31" s="1683">
        <f t="shared" si="3"/>
        <v>0</v>
      </c>
      <c r="G31" s="1684">
        <f t="shared" si="4"/>
        <v>0</v>
      </c>
    </row>
    <row r="32" spans="1:8" x14ac:dyDescent="0.25">
      <c r="A32" s="1568"/>
      <c r="B32" s="1729"/>
      <c r="C32" s="1569"/>
      <c r="D32" s="1728"/>
      <c r="E32" s="1467">
        <f t="shared" si="2"/>
        <v>0</v>
      </c>
      <c r="F32" s="1683">
        <f t="shared" si="3"/>
        <v>0</v>
      </c>
      <c r="G32" s="1684">
        <f t="shared" si="4"/>
        <v>0</v>
      </c>
    </row>
    <row r="33" spans="1:7" x14ac:dyDescent="0.25">
      <c r="A33" s="1568"/>
      <c r="B33" s="1729"/>
      <c r="C33" s="1569"/>
      <c r="D33" s="1728"/>
      <c r="E33" s="1467">
        <f t="shared" si="2"/>
        <v>0</v>
      </c>
      <c r="F33" s="1683">
        <f t="shared" si="3"/>
        <v>0</v>
      </c>
      <c r="G33" s="1684">
        <f t="shared" si="4"/>
        <v>0</v>
      </c>
    </row>
    <row r="34" spans="1:7" x14ac:dyDescent="0.25">
      <c r="A34" s="1568"/>
      <c r="B34" s="1729"/>
      <c r="C34" s="1569"/>
      <c r="D34" s="1728"/>
      <c r="E34" s="1467">
        <f t="shared" si="2"/>
        <v>0</v>
      </c>
      <c r="F34" s="1683">
        <f t="shared" si="3"/>
        <v>0</v>
      </c>
      <c r="G34" s="1684">
        <f t="shared" si="4"/>
        <v>0</v>
      </c>
    </row>
    <row r="35" spans="1:7" x14ac:dyDescent="0.25">
      <c r="A35" s="1568"/>
      <c r="B35" s="1729"/>
      <c r="C35" s="1569"/>
      <c r="D35" s="1728"/>
      <c r="E35" s="1467">
        <f t="shared" si="2"/>
        <v>0</v>
      </c>
      <c r="F35" s="1683">
        <f t="shared" si="3"/>
        <v>0</v>
      </c>
      <c r="G35" s="1684">
        <f t="shared" si="4"/>
        <v>0</v>
      </c>
    </row>
    <row r="36" spans="1:7" x14ac:dyDescent="0.25">
      <c r="A36" s="1568"/>
      <c r="B36" s="1729"/>
      <c r="C36" s="1569"/>
      <c r="D36" s="1728"/>
      <c r="E36" s="1467">
        <f t="shared" si="2"/>
        <v>0</v>
      </c>
      <c r="F36" s="1683">
        <f t="shared" si="3"/>
        <v>0</v>
      </c>
      <c r="G36" s="1684">
        <f t="shared" si="4"/>
        <v>0</v>
      </c>
    </row>
    <row r="37" spans="1:7" x14ac:dyDescent="0.25">
      <c r="A37" s="1568"/>
      <c r="B37" s="1729"/>
      <c r="C37" s="1569"/>
      <c r="D37" s="1728"/>
      <c r="E37" s="1467">
        <f t="shared" si="2"/>
        <v>0</v>
      </c>
      <c r="F37" s="1683">
        <f t="shared" si="3"/>
        <v>0</v>
      </c>
      <c r="G37" s="1684">
        <f t="shared" si="4"/>
        <v>0</v>
      </c>
    </row>
    <row r="38" spans="1:7" x14ac:dyDescent="0.25">
      <c r="A38" s="1568"/>
      <c r="B38" s="1582"/>
      <c r="C38" s="1569"/>
      <c r="D38" s="1728"/>
      <c r="E38" s="1467">
        <f t="shared" si="2"/>
        <v>0</v>
      </c>
      <c r="F38" s="1683">
        <f t="shared" si="3"/>
        <v>0</v>
      </c>
      <c r="G38" s="1684">
        <f t="shared" si="4"/>
        <v>0</v>
      </c>
    </row>
    <row r="39" spans="1:7" x14ac:dyDescent="0.25">
      <c r="A39" s="1568"/>
      <c r="B39" s="1582"/>
      <c r="C39" s="1569"/>
      <c r="D39" s="1728"/>
      <c r="E39" s="1467">
        <f t="shared" si="2"/>
        <v>0</v>
      </c>
      <c r="F39" s="1683">
        <f t="shared" si="3"/>
        <v>0</v>
      </c>
      <c r="G39" s="1684">
        <f t="shared" si="4"/>
        <v>0</v>
      </c>
    </row>
    <row r="40" spans="1:7" x14ac:dyDescent="0.25">
      <c r="A40" s="1568"/>
      <c r="B40" s="1582"/>
      <c r="C40" s="1569"/>
      <c r="D40" s="1728"/>
      <c r="E40" s="1467">
        <f t="shared" si="2"/>
        <v>0</v>
      </c>
      <c r="F40" s="1683">
        <f t="shared" si="3"/>
        <v>0</v>
      </c>
      <c r="G40" s="1684">
        <f t="shared" si="4"/>
        <v>0</v>
      </c>
    </row>
    <row r="41" spans="1:7" x14ac:dyDescent="0.25">
      <c r="A41" s="1568"/>
      <c r="B41" s="1582"/>
      <c r="C41" s="1569"/>
      <c r="D41" s="1728"/>
      <c r="E41" s="1467">
        <f t="shared" si="2"/>
        <v>0</v>
      </c>
      <c r="F41" s="1683">
        <f t="shared" si="3"/>
        <v>0</v>
      </c>
      <c r="G41" s="1684">
        <f t="shared" si="4"/>
        <v>0</v>
      </c>
    </row>
    <row r="42" spans="1:7" x14ac:dyDescent="0.25">
      <c r="A42" s="1568"/>
      <c r="B42" s="1582"/>
      <c r="C42" s="1569"/>
      <c r="D42" s="1728"/>
      <c r="E42" s="1467">
        <f t="shared" si="2"/>
        <v>0</v>
      </c>
      <c r="F42" s="1683">
        <f t="shared" si="3"/>
        <v>0</v>
      </c>
      <c r="G42" s="1684">
        <f t="shared" si="4"/>
        <v>0</v>
      </c>
    </row>
    <row r="43" spans="1:7" x14ac:dyDescent="0.25">
      <c r="A43" s="1568"/>
      <c r="B43" s="1582"/>
      <c r="C43" s="1569"/>
      <c r="D43" s="1728"/>
      <c r="E43" s="1467">
        <f t="shared" si="2"/>
        <v>0</v>
      </c>
      <c r="F43" s="1683">
        <f t="shared" si="3"/>
        <v>0</v>
      </c>
      <c r="G43" s="1684">
        <f t="shared" si="4"/>
        <v>0</v>
      </c>
    </row>
    <row r="44" spans="1:7" x14ac:dyDescent="0.25">
      <c r="A44" s="1568"/>
      <c r="B44" s="1582"/>
      <c r="C44" s="1569"/>
      <c r="D44" s="1728"/>
      <c r="E44" s="1467">
        <f t="shared" si="2"/>
        <v>0</v>
      </c>
      <c r="F44" s="1683">
        <f t="shared" si="3"/>
        <v>0</v>
      </c>
      <c r="G44" s="1684">
        <f t="shared" si="4"/>
        <v>0</v>
      </c>
    </row>
    <row r="45" spans="1:7" x14ac:dyDescent="0.25">
      <c r="A45" s="1568"/>
      <c r="B45" s="1582"/>
      <c r="C45" s="1569"/>
      <c r="D45" s="1728"/>
      <c r="E45" s="1467">
        <f t="shared" si="2"/>
        <v>0</v>
      </c>
      <c r="F45" s="1683">
        <f t="shared" si="3"/>
        <v>0</v>
      </c>
      <c r="G45" s="1684">
        <f t="shared" si="4"/>
        <v>0</v>
      </c>
    </row>
    <row r="46" spans="1:7" x14ac:dyDescent="0.25">
      <c r="A46" s="1568"/>
      <c r="B46" s="1582"/>
      <c r="C46" s="1569"/>
      <c r="D46" s="1728"/>
      <c r="E46" s="1467">
        <f t="shared" si="2"/>
        <v>0</v>
      </c>
      <c r="F46" s="1683">
        <f t="shared" si="3"/>
        <v>0</v>
      </c>
      <c r="G46" s="1684">
        <f t="shared" si="4"/>
        <v>0</v>
      </c>
    </row>
    <row r="47" spans="1:7" x14ac:dyDescent="0.25">
      <c r="A47" s="1568"/>
      <c r="B47" s="1582"/>
      <c r="C47" s="1569"/>
      <c r="D47" s="1728"/>
      <c r="E47" s="1467">
        <f t="shared" si="2"/>
        <v>0</v>
      </c>
      <c r="F47" s="1683">
        <f t="shared" si="3"/>
        <v>0</v>
      </c>
      <c r="G47" s="1684">
        <f t="shared" si="4"/>
        <v>0</v>
      </c>
    </row>
    <row r="48" spans="1:7" x14ac:dyDescent="0.25">
      <c r="A48" s="1568"/>
      <c r="B48" s="1582"/>
      <c r="C48" s="1569"/>
      <c r="D48" s="1728"/>
      <c r="E48" s="1467">
        <f t="shared" si="2"/>
        <v>0</v>
      </c>
      <c r="F48" s="1683">
        <f t="shared" si="3"/>
        <v>0</v>
      </c>
      <c r="G48" s="1684">
        <f t="shared" si="4"/>
        <v>0</v>
      </c>
    </row>
    <row r="49" spans="1:7" x14ac:dyDescent="0.25">
      <c r="A49" s="1568"/>
      <c r="B49" s="1582"/>
      <c r="C49" s="1569"/>
      <c r="D49" s="1728"/>
      <c r="E49" s="1467">
        <f t="shared" si="2"/>
        <v>0</v>
      </c>
      <c r="F49" s="1683">
        <f t="shared" si="3"/>
        <v>0</v>
      </c>
      <c r="G49" s="1684">
        <f t="shared" si="4"/>
        <v>0</v>
      </c>
    </row>
    <row r="50" spans="1:7" x14ac:dyDescent="0.25">
      <c r="A50" s="1568"/>
      <c r="B50" s="1582"/>
      <c r="C50" s="1569"/>
      <c r="D50" s="1728"/>
      <c r="E50" s="1467">
        <f t="shared" si="2"/>
        <v>0</v>
      </c>
      <c r="F50" s="1683">
        <f t="shared" si="3"/>
        <v>0</v>
      </c>
      <c r="G50" s="1684">
        <f t="shared" si="4"/>
        <v>0</v>
      </c>
    </row>
    <row r="51" spans="1:7" x14ac:dyDescent="0.25">
      <c r="A51" s="1568"/>
      <c r="B51" s="1582"/>
      <c r="C51" s="1569"/>
      <c r="D51" s="1728"/>
      <c r="E51" s="1467">
        <f t="shared" si="2"/>
        <v>0</v>
      </c>
      <c r="F51" s="1683">
        <f t="shared" si="3"/>
        <v>0</v>
      </c>
      <c r="G51" s="1684">
        <f t="shared" si="4"/>
        <v>0</v>
      </c>
    </row>
    <row r="52" spans="1:7" x14ac:dyDescent="0.25">
      <c r="A52" s="1568"/>
      <c r="B52" s="1582"/>
      <c r="C52" s="1569"/>
      <c r="D52" s="1728"/>
      <c r="E52" s="1467">
        <f t="shared" si="2"/>
        <v>0</v>
      </c>
      <c r="F52" s="1683">
        <f t="shared" si="3"/>
        <v>0</v>
      </c>
      <c r="G52" s="1684">
        <f t="shared" si="4"/>
        <v>0</v>
      </c>
    </row>
    <row r="53" spans="1:7" x14ac:dyDescent="0.25">
      <c r="A53" s="1568"/>
      <c r="B53" s="1582"/>
      <c r="C53" s="1569"/>
      <c r="D53" s="1728"/>
      <c r="E53" s="1467">
        <f t="shared" si="2"/>
        <v>0</v>
      </c>
      <c r="F53" s="1683">
        <f t="shared" si="3"/>
        <v>0</v>
      </c>
      <c r="G53" s="1684">
        <f t="shared" si="4"/>
        <v>0</v>
      </c>
    </row>
    <row r="54" spans="1:7" x14ac:dyDescent="0.25">
      <c r="A54" s="1568"/>
      <c r="B54" s="1582"/>
      <c r="C54" s="1569"/>
      <c r="D54" s="1728"/>
      <c r="E54" s="1467">
        <f t="shared" si="2"/>
        <v>0</v>
      </c>
      <c r="F54" s="1683">
        <f t="shared" si="3"/>
        <v>0</v>
      </c>
      <c r="G54" s="1684">
        <f t="shared" si="4"/>
        <v>0</v>
      </c>
    </row>
    <row r="55" spans="1:7" x14ac:dyDescent="0.25">
      <c r="A55" s="1568"/>
      <c r="B55" s="1582"/>
      <c r="C55" s="1569"/>
      <c r="D55" s="1728"/>
      <c r="E55" s="1467">
        <f t="shared" si="2"/>
        <v>0</v>
      </c>
      <c r="F55" s="1683">
        <f t="shared" si="3"/>
        <v>0</v>
      </c>
      <c r="G55" s="1684">
        <f t="shared" si="4"/>
        <v>0</v>
      </c>
    </row>
    <row r="56" spans="1:7" x14ac:dyDescent="0.25">
      <c r="A56" s="1568"/>
      <c r="B56" s="1582"/>
      <c r="C56" s="1569"/>
      <c r="D56" s="1728"/>
      <c r="E56" s="1467">
        <f t="shared" si="2"/>
        <v>0</v>
      </c>
      <c r="F56" s="1683">
        <f t="shared" si="3"/>
        <v>0</v>
      </c>
      <c r="G56" s="1684">
        <f t="shared" si="4"/>
        <v>0</v>
      </c>
    </row>
    <row r="57" spans="1:7" x14ac:dyDescent="0.25">
      <c r="A57" s="1568"/>
      <c r="B57" s="1582"/>
      <c r="C57" s="1569"/>
      <c r="D57" s="1728"/>
      <c r="E57" s="1467">
        <f t="shared" si="2"/>
        <v>0</v>
      </c>
      <c r="F57" s="1683">
        <f t="shared" si="3"/>
        <v>0</v>
      </c>
      <c r="G57" s="1684">
        <f t="shared" si="4"/>
        <v>0</v>
      </c>
    </row>
    <row r="58" spans="1:7" x14ac:dyDescent="0.25">
      <c r="A58" s="1568"/>
      <c r="B58" s="1582"/>
      <c r="C58" s="1569"/>
      <c r="D58" s="1728"/>
      <c r="E58" s="1467">
        <f t="shared" si="2"/>
        <v>0</v>
      </c>
      <c r="F58" s="1683">
        <f t="shared" si="3"/>
        <v>0</v>
      </c>
      <c r="G58" s="1684">
        <f t="shared" si="4"/>
        <v>0</v>
      </c>
    </row>
    <row r="59" spans="1:7" x14ac:dyDescent="0.25">
      <c r="A59" s="1568"/>
      <c r="B59" s="1582"/>
      <c r="C59" s="1569"/>
      <c r="D59" s="1728"/>
      <c r="E59" s="1467">
        <f t="shared" si="2"/>
        <v>0</v>
      </c>
      <c r="F59" s="1683">
        <f t="shared" si="3"/>
        <v>0</v>
      </c>
      <c r="G59" s="1684">
        <f t="shared" si="4"/>
        <v>0</v>
      </c>
    </row>
    <row r="60" spans="1:7" x14ac:dyDescent="0.25">
      <c r="A60" s="1568"/>
      <c r="B60" s="1582"/>
      <c r="C60" s="1569"/>
      <c r="D60" s="1728"/>
      <c r="E60" s="1467">
        <f t="shared" si="2"/>
        <v>0</v>
      </c>
      <c r="F60" s="1683">
        <f t="shared" si="3"/>
        <v>0</v>
      </c>
      <c r="G60" s="1684">
        <f t="shared" si="4"/>
        <v>0</v>
      </c>
    </row>
    <row r="61" spans="1:7" x14ac:dyDescent="0.25">
      <c r="A61" s="1568"/>
      <c r="B61" s="1582"/>
      <c r="C61" s="1569"/>
      <c r="D61" s="1728"/>
      <c r="E61" s="1467">
        <f t="shared" si="2"/>
        <v>0</v>
      </c>
      <c r="F61" s="1683">
        <f t="shared" si="3"/>
        <v>0</v>
      </c>
      <c r="G61" s="1684">
        <f t="shared" si="4"/>
        <v>0</v>
      </c>
    </row>
    <row r="62" spans="1:7" x14ac:dyDescent="0.25">
      <c r="A62" s="1568"/>
      <c r="B62" s="1582"/>
      <c r="C62" s="1569"/>
      <c r="D62" s="1728"/>
      <c r="E62" s="1467">
        <f t="shared" si="2"/>
        <v>0</v>
      </c>
      <c r="F62" s="1683">
        <f t="shared" si="3"/>
        <v>0</v>
      </c>
      <c r="G62" s="1684">
        <f t="shared" si="4"/>
        <v>0</v>
      </c>
    </row>
    <row r="63" spans="1:7" x14ac:dyDescent="0.25">
      <c r="A63" s="1568"/>
      <c r="B63" s="1582"/>
      <c r="C63" s="1569"/>
      <c r="D63" s="1728"/>
      <c r="E63" s="1467">
        <f t="shared" si="2"/>
        <v>0</v>
      </c>
      <c r="F63" s="1683">
        <f t="shared" si="3"/>
        <v>0</v>
      </c>
      <c r="G63" s="1684">
        <f t="shared" si="4"/>
        <v>0</v>
      </c>
    </row>
    <row r="64" spans="1:7" x14ac:dyDescent="0.25">
      <c r="A64" s="1570"/>
      <c r="B64" s="1582"/>
      <c r="C64" s="1571"/>
      <c r="D64" s="1728"/>
      <c r="E64" s="1467">
        <f t="shared" si="2"/>
        <v>0</v>
      </c>
      <c r="F64" s="1683">
        <f t="shared" si="3"/>
        <v>0</v>
      </c>
      <c r="G64" s="1684">
        <f t="shared" si="4"/>
        <v>0</v>
      </c>
    </row>
    <row r="65" spans="1:7" x14ac:dyDescent="0.25">
      <c r="A65" s="1568"/>
      <c r="B65" s="1582"/>
      <c r="C65" s="1569"/>
      <c r="D65" s="1728"/>
      <c r="E65" s="1467">
        <f t="shared" si="2"/>
        <v>0</v>
      </c>
      <c r="F65" s="1683">
        <f t="shared" si="3"/>
        <v>0</v>
      </c>
      <c r="G65" s="1684">
        <f t="shared" si="4"/>
        <v>0</v>
      </c>
    </row>
    <row r="66" spans="1:7" x14ac:dyDescent="0.25">
      <c r="A66" s="1568"/>
      <c r="B66" s="1582"/>
      <c r="C66" s="1569"/>
      <c r="D66" s="1728"/>
      <c r="E66" s="1467">
        <f t="shared" si="2"/>
        <v>0</v>
      </c>
      <c r="F66" s="1683">
        <f t="shared" si="3"/>
        <v>0</v>
      </c>
      <c r="G66" s="1684">
        <f t="shared" si="4"/>
        <v>0</v>
      </c>
    </row>
    <row r="67" spans="1:7" x14ac:dyDescent="0.25">
      <c r="A67" s="1568"/>
      <c r="B67" s="1582"/>
      <c r="C67" s="1569"/>
      <c r="D67" s="1728"/>
      <c r="E67" s="1467">
        <f t="shared" si="2"/>
        <v>0</v>
      </c>
      <c r="F67" s="1683">
        <f t="shared" si="3"/>
        <v>0</v>
      </c>
      <c r="G67" s="1684">
        <f t="shared" si="4"/>
        <v>0</v>
      </c>
    </row>
    <row r="68" spans="1:7" x14ac:dyDescent="0.25">
      <c r="A68" s="1568"/>
      <c r="B68" s="1582"/>
      <c r="C68" s="1569"/>
      <c r="D68" s="1728"/>
      <c r="E68" s="1467">
        <f t="shared" si="2"/>
        <v>0</v>
      </c>
      <c r="F68" s="1683">
        <f t="shared" si="3"/>
        <v>0</v>
      </c>
      <c r="G68" s="1684">
        <f t="shared" si="4"/>
        <v>0</v>
      </c>
    </row>
    <row r="69" spans="1:7" x14ac:dyDescent="0.25">
      <c r="A69" s="1568"/>
      <c r="B69" s="1582"/>
      <c r="C69" s="1569"/>
      <c r="D69" s="1728"/>
      <c r="E69" s="1467">
        <f t="shared" si="2"/>
        <v>0</v>
      </c>
      <c r="F69" s="1683">
        <f t="shared" si="3"/>
        <v>0</v>
      </c>
      <c r="G69" s="1684">
        <f t="shared" si="4"/>
        <v>0</v>
      </c>
    </row>
    <row r="70" spans="1:7" x14ac:dyDescent="0.25">
      <c r="A70" s="1568"/>
      <c r="B70" s="1582"/>
      <c r="C70" s="1569"/>
      <c r="D70" s="1728"/>
      <c r="E70" s="1467">
        <f t="shared" si="2"/>
        <v>0</v>
      </c>
      <c r="F70" s="1683">
        <f t="shared" si="3"/>
        <v>0</v>
      </c>
      <c r="G70" s="1684">
        <f t="shared" si="4"/>
        <v>0</v>
      </c>
    </row>
    <row r="71" spans="1:7" x14ac:dyDescent="0.25">
      <c r="A71" s="1568"/>
      <c r="B71" s="1582"/>
      <c r="C71" s="1569"/>
      <c r="D71" s="1728"/>
      <c r="E71" s="1467">
        <f t="shared" si="2"/>
        <v>0</v>
      </c>
      <c r="F71" s="1683">
        <f t="shared" si="3"/>
        <v>0</v>
      </c>
      <c r="G71" s="1684">
        <f t="shared" si="4"/>
        <v>0</v>
      </c>
    </row>
    <row r="72" spans="1:7" x14ac:dyDescent="0.25">
      <c r="A72" s="1568"/>
      <c r="B72" s="1582"/>
      <c r="C72" s="1569"/>
      <c r="D72" s="1728"/>
      <c r="E72" s="1467">
        <f t="shared" si="2"/>
        <v>0</v>
      </c>
      <c r="F72" s="1683">
        <f t="shared" si="3"/>
        <v>0</v>
      </c>
      <c r="G72" s="1684">
        <f t="shared" si="4"/>
        <v>0</v>
      </c>
    </row>
    <row r="73" spans="1:7" x14ac:dyDescent="0.25">
      <c r="A73" s="1568"/>
      <c r="B73" s="1582"/>
      <c r="C73" s="1569"/>
      <c r="D73" s="1728"/>
      <c r="E73" s="1467">
        <f t="shared" ref="E73:E84" si="5">IF(D73&lt;=25000,D73,IF(D73&gt;25000,25000,0))</f>
        <v>0</v>
      </c>
      <c r="F73" s="1683">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84">
        <f t="shared" ref="G73:G84" si="7">IF(F73=0,0,D73-F73)</f>
        <v>0</v>
      </c>
    </row>
    <row r="74" spans="1:7" x14ac:dyDescent="0.25">
      <c r="A74" s="1568"/>
      <c r="B74" s="1582"/>
      <c r="C74" s="1569"/>
      <c r="D74" s="1728"/>
      <c r="E74" s="1467">
        <f t="shared" si="5"/>
        <v>0</v>
      </c>
      <c r="F74" s="1683">
        <f t="shared" si="6"/>
        <v>0</v>
      </c>
      <c r="G74" s="1684">
        <f t="shared" si="7"/>
        <v>0</v>
      </c>
    </row>
    <row r="75" spans="1:7" x14ac:dyDescent="0.25">
      <c r="A75" s="1568"/>
      <c r="B75" s="1582"/>
      <c r="C75" s="1569"/>
      <c r="D75" s="1728"/>
      <c r="E75" s="1467">
        <f t="shared" si="5"/>
        <v>0</v>
      </c>
      <c r="F75" s="1683">
        <f t="shared" si="6"/>
        <v>0</v>
      </c>
      <c r="G75" s="1684">
        <f t="shared" si="7"/>
        <v>0</v>
      </c>
    </row>
    <row r="76" spans="1:7" x14ac:dyDescent="0.25">
      <c r="A76" s="1568"/>
      <c r="B76" s="1582"/>
      <c r="C76" s="1569"/>
      <c r="D76" s="1728"/>
      <c r="E76" s="1467">
        <f t="shared" si="5"/>
        <v>0</v>
      </c>
      <c r="F76" s="1683">
        <f t="shared" si="6"/>
        <v>0</v>
      </c>
      <c r="G76" s="1684">
        <f t="shared" si="7"/>
        <v>0</v>
      </c>
    </row>
    <row r="77" spans="1:7" x14ac:dyDescent="0.25">
      <c r="A77" s="1568"/>
      <c r="B77" s="1582"/>
      <c r="C77" s="1569"/>
      <c r="D77" s="1728"/>
      <c r="E77" s="1467">
        <f t="shared" si="5"/>
        <v>0</v>
      </c>
      <c r="F77" s="1683">
        <f t="shared" si="6"/>
        <v>0</v>
      </c>
      <c r="G77" s="1684">
        <f t="shared" si="7"/>
        <v>0</v>
      </c>
    </row>
    <row r="78" spans="1:7" x14ac:dyDescent="0.25">
      <c r="A78" s="1568"/>
      <c r="B78" s="1582"/>
      <c r="C78" s="1569"/>
      <c r="D78" s="1728"/>
      <c r="E78" s="1467">
        <f t="shared" si="5"/>
        <v>0</v>
      </c>
      <c r="F78" s="1683">
        <f t="shared" si="6"/>
        <v>0</v>
      </c>
      <c r="G78" s="1684">
        <f t="shared" si="7"/>
        <v>0</v>
      </c>
    </row>
    <row r="79" spans="1:7" x14ac:dyDescent="0.25">
      <c r="A79" s="1568"/>
      <c r="B79" s="1582"/>
      <c r="C79" s="1569"/>
      <c r="D79" s="1728"/>
      <c r="E79" s="1467">
        <f t="shared" si="5"/>
        <v>0</v>
      </c>
      <c r="F79" s="1683">
        <f t="shared" si="6"/>
        <v>0</v>
      </c>
      <c r="G79" s="1684">
        <f t="shared" si="7"/>
        <v>0</v>
      </c>
    </row>
    <row r="80" spans="1:7" x14ac:dyDescent="0.25">
      <c r="A80" s="1568"/>
      <c r="B80" s="1582"/>
      <c r="C80" s="1569"/>
      <c r="D80" s="1728"/>
      <c r="E80" s="1467">
        <f t="shared" si="5"/>
        <v>0</v>
      </c>
      <c r="F80" s="1683">
        <f t="shared" si="6"/>
        <v>0</v>
      </c>
      <c r="G80" s="1684">
        <f t="shared" si="7"/>
        <v>0</v>
      </c>
    </row>
    <row r="81" spans="1:7" x14ac:dyDescent="0.25">
      <c r="A81" s="1568"/>
      <c r="B81" s="1582"/>
      <c r="C81" s="1569"/>
      <c r="D81" s="1728"/>
      <c r="E81" s="1467">
        <f t="shared" si="5"/>
        <v>0</v>
      </c>
      <c r="F81" s="1683">
        <f t="shared" si="6"/>
        <v>0</v>
      </c>
      <c r="G81" s="1684">
        <f t="shared" si="7"/>
        <v>0</v>
      </c>
    </row>
    <row r="82" spans="1:7" x14ac:dyDescent="0.25">
      <c r="A82" s="1568"/>
      <c r="B82" s="1582"/>
      <c r="C82" s="1569"/>
      <c r="D82" s="1728"/>
      <c r="E82" s="1467">
        <f t="shared" si="5"/>
        <v>0</v>
      </c>
      <c r="F82" s="1683">
        <f t="shared" si="6"/>
        <v>0</v>
      </c>
      <c r="G82" s="1684">
        <f t="shared" si="7"/>
        <v>0</v>
      </c>
    </row>
    <row r="83" spans="1:7" x14ac:dyDescent="0.25">
      <c r="A83" s="1568"/>
      <c r="B83" s="1582"/>
      <c r="C83" s="1569"/>
      <c r="D83" s="1728"/>
      <c r="E83" s="1467">
        <f t="shared" si="5"/>
        <v>0</v>
      </c>
      <c r="F83" s="1683">
        <f t="shared" si="6"/>
        <v>0</v>
      </c>
      <c r="G83" s="1684">
        <f t="shared" si="7"/>
        <v>0</v>
      </c>
    </row>
    <row r="84" spans="1:7" x14ac:dyDescent="0.25">
      <c r="A84" s="1568"/>
      <c r="B84" s="1582"/>
      <c r="C84" s="1569"/>
      <c r="D84" s="1728"/>
      <c r="E84" s="1467">
        <f t="shared" si="5"/>
        <v>0</v>
      </c>
      <c r="F84" s="1683">
        <f t="shared" si="6"/>
        <v>0</v>
      </c>
      <c r="G84" s="1684">
        <f t="shared" si="7"/>
        <v>0</v>
      </c>
    </row>
    <row r="85" spans="1:7" x14ac:dyDescent="0.25">
      <c r="A85" s="1568"/>
      <c r="B85" s="1582"/>
      <c r="C85" s="1569"/>
      <c r="D85" s="1728"/>
      <c r="E85" s="1467">
        <f t="shared" si="2"/>
        <v>0</v>
      </c>
      <c r="F85" s="1683">
        <f t="shared" si="3"/>
        <v>0</v>
      </c>
      <c r="G85" s="1684">
        <f t="shared" si="4"/>
        <v>0</v>
      </c>
    </row>
    <row r="86" spans="1:7" x14ac:dyDescent="0.25">
      <c r="A86" s="1568"/>
      <c r="B86" s="1582"/>
      <c r="C86" s="1569"/>
      <c r="D86" s="1728"/>
      <c r="E86" s="1467">
        <f t="shared" si="2"/>
        <v>0</v>
      </c>
      <c r="F86" s="1683">
        <f t="shared" si="3"/>
        <v>0</v>
      </c>
      <c r="G86" s="1684">
        <f t="shared" si="4"/>
        <v>0</v>
      </c>
    </row>
    <row r="87" spans="1:7" x14ac:dyDescent="0.25">
      <c r="A87" s="1568"/>
      <c r="B87" s="1582"/>
      <c r="C87" s="1569"/>
      <c r="D87" s="1728"/>
      <c r="E87" s="1467">
        <f t="shared" si="2"/>
        <v>0</v>
      </c>
      <c r="F87" s="1683">
        <f t="shared" si="3"/>
        <v>0</v>
      </c>
      <c r="G87" s="1684">
        <f t="shared" si="4"/>
        <v>0</v>
      </c>
    </row>
    <row r="88" spans="1:7" x14ac:dyDescent="0.25">
      <c r="A88" s="1568"/>
      <c r="B88" s="1582"/>
      <c r="C88" s="1569"/>
      <c r="D88" s="1728"/>
      <c r="E88" s="1467">
        <f t="shared" si="2"/>
        <v>0</v>
      </c>
      <c r="F88" s="1683">
        <f t="shared" si="3"/>
        <v>0</v>
      </c>
      <c r="G88" s="1684">
        <f t="shared" si="4"/>
        <v>0</v>
      </c>
    </row>
    <row r="89" spans="1:7" x14ac:dyDescent="0.25">
      <c r="A89" s="1568"/>
      <c r="B89" s="1582"/>
      <c r="C89" s="1569"/>
      <c r="D89" s="1728"/>
      <c r="E89" s="1467">
        <f t="shared" si="2"/>
        <v>0</v>
      </c>
      <c r="F89" s="1683">
        <f t="shared" si="3"/>
        <v>0</v>
      </c>
      <c r="G89" s="1684">
        <f t="shared" si="4"/>
        <v>0</v>
      </c>
    </row>
    <row r="90" spans="1:7" x14ac:dyDescent="0.25">
      <c r="A90" s="1568"/>
      <c r="B90" s="1582"/>
      <c r="C90" s="1569"/>
      <c r="D90" s="1728"/>
      <c r="E90" s="1467">
        <f t="shared" si="2"/>
        <v>0</v>
      </c>
      <c r="F90" s="1683">
        <f t="shared" si="3"/>
        <v>0</v>
      </c>
      <c r="G90" s="1684">
        <f t="shared" si="4"/>
        <v>0</v>
      </c>
    </row>
    <row r="91" spans="1:7" x14ac:dyDescent="0.25">
      <c r="A91" s="1568"/>
      <c r="B91" s="1582"/>
      <c r="C91" s="1569"/>
      <c r="D91" s="1728"/>
      <c r="E91" s="1467">
        <f t="shared" si="2"/>
        <v>0</v>
      </c>
      <c r="F91" s="1683">
        <f t="shared" si="3"/>
        <v>0</v>
      </c>
      <c r="G91" s="1684">
        <f t="shared" si="4"/>
        <v>0</v>
      </c>
    </row>
    <row r="92" spans="1:7" x14ac:dyDescent="0.25">
      <c r="A92" s="1568"/>
      <c r="B92" s="1582"/>
      <c r="C92" s="1569"/>
      <c r="D92" s="1728"/>
      <c r="E92" s="1467">
        <f t="shared" si="2"/>
        <v>0</v>
      </c>
      <c r="F92" s="1683">
        <f t="shared" si="3"/>
        <v>0</v>
      </c>
      <c r="G92" s="1684">
        <f t="shared" si="4"/>
        <v>0</v>
      </c>
    </row>
    <row r="93" spans="1:7" x14ac:dyDescent="0.25">
      <c r="A93" s="1568"/>
      <c r="B93" s="1582"/>
      <c r="C93" s="1569"/>
      <c r="D93" s="1728"/>
      <c r="E93" s="1467">
        <f t="shared" ref="E93" si="8">IF(D93&lt;=25000,D93,IF(D93&gt;25000,25000,0))</f>
        <v>0</v>
      </c>
      <c r="F93" s="1683">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84">
        <f t="shared" ref="G93" si="10">IF(F93=0,0,D93-F93)</f>
        <v>0</v>
      </c>
    </row>
    <row r="94" spans="1:7" x14ac:dyDescent="0.25">
      <c r="A94" s="1568"/>
      <c r="B94" s="1582"/>
      <c r="C94" s="1569"/>
      <c r="D94" s="1728"/>
      <c r="E94" s="1467">
        <f t="shared" si="2"/>
        <v>0</v>
      </c>
      <c r="F94" s="1683">
        <f t="shared" si="3"/>
        <v>0</v>
      </c>
      <c r="G94" s="1684">
        <f t="shared" si="4"/>
        <v>0</v>
      </c>
    </row>
    <row r="95" spans="1:7" x14ac:dyDescent="0.25">
      <c r="A95" s="1568"/>
      <c r="B95" s="1582"/>
      <c r="C95" s="1569"/>
      <c r="D95" s="1728"/>
      <c r="E95" s="1467">
        <f t="shared" ref="E95:E98" si="11">IF(D95&lt;=25000,D95,IF(D95&gt;25000,25000,0))</f>
        <v>0</v>
      </c>
      <c r="F95" s="1683">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84">
        <f t="shared" ref="G95:G98" si="13">IF(F95=0,0,D95-F95)</f>
        <v>0</v>
      </c>
    </row>
    <row r="96" spans="1:7" x14ac:dyDescent="0.25">
      <c r="A96" s="1568"/>
      <c r="B96" s="1582"/>
      <c r="C96" s="1569"/>
      <c r="D96" s="1728"/>
      <c r="E96" s="1467">
        <f t="shared" si="11"/>
        <v>0</v>
      </c>
      <c r="F96" s="1683">
        <f t="shared" si="12"/>
        <v>0</v>
      </c>
      <c r="G96" s="1684">
        <f t="shared" si="13"/>
        <v>0</v>
      </c>
    </row>
    <row r="97" spans="1:7" x14ac:dyDescent="0.25">
      <c r="A97" s="1568"/>
      <c r="B97" s="1582"/>
      <c r="C97" s="1569"/>
      <c r="D97" s="1728"/>
      <c r="E97" s="1467">
        <f t="shared" si="11"/>
        <v>0</v>
      </c>
      <c r="F97" s="1683">
        <f t="shared" si="12"/>
        <v>0</v>
      </c>
      <c r="G97" s="1684">
        <f t="shared" si="13"/>
        <v>0</v>
      </c>
    </row>
    <row r="98" spans="1:7" x14ac:dyDescent="0.25">
      <c r="A98" s="1568"/>
      <c r="B98" s="1582"/>
      <c r="C98" s="1569"/>
      <c r="D98" s="1728"/>
      <c r="E98" s="1467">
        <f t="shared" si="11"/>
        <v>0</v>
      </c>
      <c r="F98" s="1683">
        <f t="shared" si="12"/>
        <v>0</v>
      </c>
      <c r="G98" s="1684">
        <f t="shared" si="13"/>
        <v>0</v>
      </c>
    </row>
    <row r="99" spans="1:7" x14ac:dyDescent="0.25">
      <c r="A99" s="1568"/>
      <c r="B99" s="1582"/>
      <c r="C99" s="1569"/>
      <c r="D99" s="1728"/>
      <c r="E99" s="1467">
        <f t="shared" ref="E99" si="14">IF(D99&lt;=25000,D99,IF(D99&gt;25000,25000,0))</f>
        <v>0</v>
      </c>
      <c r="F99" s="1683">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84">
        <f t="shared" ref="G99" si="16">IF(F99=0,0,D99-F99)</f>
        <v>0</v>
      </c>
    </row>
    <row r="100" spans="1:7" x14ac:dyDescent="0.25">
      <c r="A100" s="1568"/>
      <c r="B100" s="1582"/>
      <c r="C100" s="1569"/>
      <c r="D100" s="1728"/>
      <c r="E100" s="1467">
        <f t="shared" ref="E100:E112" si="17">IF(D100&lt;=25000,D100,IF(D100&gt;25000,25000,0))</f>
        <v>0</v>
      </c>
      <c r="F100" s="1683">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84">
        <f t="shared" ref="G100:G112" si="19">IF(F100=0,0,D100-F100)</f>
        <v>0</v>
      </c>
    </row>
    <row r="101" spans="1:7" x14ac:dyDescent="0.25">
      <c r="A101" s="1568"/>
      <c r="B101" s="1582"/>
      <c r="C101" s="1569"/>
      <c r="D101" s="1728"/>
      <c r="E101" s="1467">
        <f t="shared" si="17"/>
        <v>0</v>
      </c>
      <c r="F101" s="1683">
        <f t="shared" si="18"/>
        <v>0</v>
      </c>
      <c r="G101" s="1684">
        <f t="shared" si="19"/>
        <v>0</v>
      </c>
    </row>
    <row r="102" spans="1:7" x14ac:dyDescent="0.25">
      <c r="A102" s="1568"/>
      <c r="B102" s="1582"/>
      <c r="C102" s="1569"/>
      <c r="D102" s="1728"/>
      <c r="E102" s="1467">
        <f t="shared" si="17"/>
        <v>0</v>
      </c>
      <c r="F102" s="1683">
        <f t="shared" si="18"/>
        <v>0</v>
      </c>
      <c r="G102" s="1684">
        <f t="shared" si="19"/>
        <v>0</v>
      </c>
    </row>
    <row r="103" spans="1:7" x14ac:dyDescent="0.25">
      <c r="A103" s="1568"/>
      <c r="B103" s="1582"/>
      <c r="C103" s="1569"/>
      <c r="D103" s="1728"/>
      <c r="E103" s="1467">
        <f t="shared" si="17"/>
        <v>0</v>
      </c>
      <c r="F103" s="1683">
        <f t="shared" si="18"/>
        <v>0</v>
      </c>
      <c r="G103" s="1684">
        <f t="shared" si="19"/>
        <v>0</v>
      </c>
    </row>
    <row r="104" spans="1:7" x14ac:dyDescent="0.25">
      <c r="A104" s="1568"/>
      <c r="B104" s="1582"/>
      <c r="C104" s="1569"/>
      <c r="D104" s="1728"/>
      <c r="E104" s="1467">
        <f t="shared" si="17"/>
        <v>0</v>
      </c>
      <c r="F104" s="1683">
        <f t="shared" si="18"/>
        <v>0</v>
      </c>
      <c r="G104" s="1684">
        <f t="shared" si="19"/>
        <v>0</v>
      </c>
    </row>
    <row r="105" spans="1:7" x14ac:dyDescent="0.25">
      <c r="A105" s="1568"/>
      <c r="B105" s="1582"/>
      <c r="C105" s="1569"/>
      <c r="D105" s="1728"/>
      <c r="E105" s="1467">
        <f t="shared" si="17"/>
        <v>0</v>
      </c>
      <c r="F105" s="1683">
        <f t="shared" si="18"/>
        <v>0</v>
      </c>
      <c r="G105" s="1684">
        <f t="shared" si="19"/>
        <v>0</v>
      </c>
    </row>
    <row r="106" spans="1:7" x14ac:dyDescent="0.25">
      <c r="A106" s="1568"/>
      <c r="B106" s="1582"/>
      <c r="C106" s="1569"/>
      <c r="D106" s="1728"/>
      <c r="E106" s="1467">
        <f t="shared" si="17"/>
        <v>0</v>
      </c>
      <c r="F106" s="1683">
        <f t="shared" si="18"/>
        <v>0</v>
      </c>
      <c r="G106" s="1684">
        <f t="shared" si="19"/>
        <v>0</v>
      </c>
    </row>
    <row r="107" spans="1:7" x14ac:dyDescent="0.25">
      <c r="A107" s="1568"/>
      <c r="B107" s="1582"/>
      <c r="C107" s="1569"/>
      <c r="D107" s="1728"/>
      <c r="E107" s="1467">
        <f t="shared" si="17"/>
        <v>0</v>
      </c>
      <c r="F107" s="1683">
        <f t="shared" si="18"/>
        <v>0</v>
      </c>
      <c r="G107" s="1684">
        <f t="shared" si="19"/>
        <v>0</v>
      </c>
    </row>
    <row r="108" spans="1:7" x14ac:dyDescent="0.25">
      <c r="A108" s="1568"/>
      <c r="B108" s="1582"/>
      <c r="C108" s="1569"/>
      <c r="D108" s="1728"/>
      <c r="E108" s="1467">
        <f t="shared" si="17"/>
        <v>0</v>
      </c>
      <c r="F108" s="1683">
        <f t="shared" si="18"/>
        <v>0</v>
      </c>
      <c r="G108" s="1684">
        <f t="shared" si="19"/>
        <v>0</v>
      </c>
    </row>
    <row r="109" spans="1:7" x14ac:dyDescent="0.25">
      <c r="A109" s="1568"/>
      <c r="B109" s="1582"/>
      <c r="C109" s="1569"/>
      <c r="D109" s="1728"/>
      <c r="E109" s="1467">
        <f t="shared" si="17"/>
        <v>0</v>
      </c>
      <c r="F109" s="1683">
        <f t="shared" si="18"/>
        <v>0</v>
      </c>
      <c r="G109" s="1684">
        <f t="shared" si="19"/>
        <v>0</v>
      </c>
    </row>
    <row r="110" spans="1:7" x14ac:dyDescent="0.25">
      <c r="A110" s="1568"/>
      <c r="B110" s="1582"/>
      <c r="C110" s="1569"/>
      <c r="D110" s="1728"/>
      <c r="E110" s="1467">
        <f t="shared" si="17"/>
        <v>0</v>
      </c>
      <c r="F110" s="1683">
        <f t="shared" si="18"/>
        <v>0</v>
      </c>
      <c r="G110" s="1684">
        <f t="shared" si="19"/>
        <v>0</v>
      </c>
    </row>
    <row r="111" spans="1:7" x14ac:dyDescent="0.25">
      <c r="A111" s="1568"/>
      <c r="B111" s="1582"/>
      <c r="C111" s="1569"/>
      <c r="D111" s="1728"/>
      <c r="E111" s="1467">
        <f t="shared" si="17"/>
        <v>0</v>
      </c>
      <c r="F111" s="1683">
        <f t="shared" si="18"/>
        <v>0</v>
      </c>
      <c r="G111" s="1684">
        <f t="shared" si="19"/>
        <v>0</v>
      </c>
    </row>
    <row r="112" spans="1:7" x14ac:dyDescent="0.25">
      <c r="A112" s="1568"/>
      <c r="B112" s="1582"/>
      <c r="C112" s="1569"/>
      <c r="D112" s="1728"/>
      <c r="E112" s="1467">
        <f t="shared" si="17"/>
        <v>0</v>
      </c>
      <c r="F112" s="1683">
        <f t="shared" si="18"/>
        <v>0</v>
      </c>
      <c r="G112" s="1684">
        <f t="shared" si="19"/>
        <v>0</v>
      </c>
    </row>
    <row r="113" spans="1:7" x14ac:dyDescent="0.25">
      <c r="A113" s="1568"/>
      <c r="B113" s="1582"/>
      <c r="C113" s="1569"/>
      <c r="D113" s="1728"/>
      <c r="E113" s="1467">
        <f t="shared" ref="E113:E125" si="20">IF(D113&lt;=25000,D113,IF(D113&gt;25000,25000,0))</f>
        <v>0</v>
      </c>
      <c r="F113" s="1683">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84">
        <f t="shared" ref="G113:G125" si="22">IF(F113=0,0,D113-F113)</f>
        <v>0</v>
      </c>
    </row>
    <row r="114" spans="1:7" x14ac:dyDescent="0.25">
      <c r="A114" s="1568"/>
      <c r="B114" s="1582"/>
      <c r="C114" s="1569"/>
      <c r="D114" s="1728"/>
      <c r="E114" s="1467">
        <f t="shared" si="20"/>
        <v>0</v>
      </c>
      <c r="F114" s="1683">
        <f t="shared" si="21"/>
        <v>0</v>
      </c>
      <c r="G114" s="1684">
        <f t="shared" si="22"/>
        <v>0</v>
      </c>
    </row>
    <row r="115" spans="1:7" x14ac:dyDescent="0.25">
      <c r="A115" s="1568"/>
      <c r="B115" s="1582"/>
      <c r="C115" s="1569"/>
      <c r="D115" s="1728"/>
      <c r="E115" s="1467">
        <f t="shared" si="20"/>
        <v>0</v>
      </c>
      <c r="F115" s="1683">
        <f t="shared" si="21"/>
        <v>0</v>
      </c>
      <c r="G115" s="1684">
        <f t="shared" si="22"/>
        <v>0</v>
      </c>
    </row>
    <row r="116" spans="1:7" x14ac:dyDescent="0.25">
      <c r="A116" s="1568"/>
      <c r="B116" s="1582"/>
      <c r="C116" s="1569"/>
      <c r="D116" s="1728"/>
      <c r="E116" s="1467">
        <f t="shared" si="20"/>
        <v>0</v>
      </c>
      <c r="F116" s="1683">
        <f t="shared" si="21"/>
        <v>0</v>
      </c>
      <c r="G116" s="1684">
        <f t="shared" si="22"/>
        <v>0</v>
      </c>
    </row>
    <row r="117" spans="1:7" x14ac:dyDescent="0.25">
      <c r="A117" s="1568"/>
      <c r="B117" s="1582"/>
      <c r="C117" s="1569"/>
      <c r="D117" s="1728"/>
      <c r="E117" s="1467">
        <f t="shared" si="20"/>
        <v>0</v>
      </c>
      <c r="F117" s="1683">
        <f t="shared" si="21"/>
        <v>0</v>
      </c>
      <c r="G117" s="1684">
        <f t="shared" si="22"/>
        <v>0</v>
      </c>
    </row>
    <row r="118" spans="1:7" x14ac:dyDescent="0.25">
      <c r="A118" s="1568"/>
      <c r="B118" s="1582"/>
      <c r="C118" s="1569"/>
      <c r="D118" s="1728"/>
      <c r="E118" s="1467">
        <f t="shared" si="20"/>
        <v>0</v>
      </c>
      <c r="F118" s="1683">
        <f t="shared" si="21"/>
        <v>0</v>
      </c>
      <c r="G118" s="1684">
        <f t="shared" si="22"/>
        <v>0</v>
      </c>
    </row>
    <row r="119" spans="1:7" x14ac:dyDescent="0.25">
      <c r="A119" s="1568"/>
      <c r="B119" s="1582"/>
      <c r="C119" s="1569"/>
      <c r="D119" s="1728"/>
      <c r="E119" s="1467">
        <f t="shared" si="20"/>
        <v>0</v>
      </c>
      <c r="F119" s="1683">
        <f t="shared" si="21"/>
        <v>0</v>
      </c>
      <c r="G119" s="1684">
        <f t="shared" si="22"/>
        <v>0</v>
      </c>
    </row>
    <row r="120" spans="1:7" x14ac:dyDescent="0.25">
      <c r="A120" s="1568"/>
      <c r="B120" s="1582"/>
      <c r="C120" s="1569"/>
      <c r="D120" s="1728"/>
      <c r="E120" s="1467">
        <f t="shared" si="20"/>
        <v>0</v>
      </c>
      <c r="F120" s="1683">
        <f t="shared" si="21"/>
        <v>0</v>
      </c>
      <c r="G120" s="1684">
        <f t="shared" si="22"/>
        <v>0</v>
      </c>
    </row>
    <row r="121" spans="1:7" x14ac:dyDescent="0.25">
      <c r="A121" s="1568"/>
      <c r="B121" s="1582"/>
      <c r="C121" s="1569"/>
      <c r="D121" s="1728"/>
      <c r="E121" s="1467">
        <f t="shared" si="20"/>
        <v>0</v>
      </c>
      <c r="F121" s="1683">
        <f t="shared" si="21"/>
        <v>0</v>
      </c>
      <c r="G121" s="1684">
        <f t="shared" si="22"/>
        <v>0</v>
      </c>
    </row>
    <row r="122" spans="1:7" x14ac:dyDescent="0.25">
      <c r="A122" s="1568"/>
      <c r="B122" s="1582"/>
      <c r="C122" s="1569"/>
      <c r="D122" s="1728"/>
      <c r="E122" s="1467">
        <f t="shared" si="20"/>
        <v>0</v>
      </c>
      <c r="F122" s="1683">
        <f t="shared" si="21"/>
        <v>0</v>
      </c>
      <c r="G122" s="1684">
        <f t="shared" si="22"/>
        <v>0</v>
      </c>
    </row>
    <row r="123" spans="1:7" x14ac:dyDescent="0.25">
      <c r="A123" s="1568"/>
      <c r="B123" s="1582"/>
      <c r="C123" s="1569"/>
      <c r="D123" s="1728"/>
      <c r="E123" s="1467">
        <f t="shared" si="20"/>
        <v>0</v>
      </c>
      <c r="F123" s="1683">
        <f t="shared" si="21"/>
        <v>0</v>
      </c>
      <c r="G123" s="1684">
        <f t="shared" si="22"/>
        <v>0</v>
      </c>
    </row>
    <row r="124" spans="1:7" x14ac:dyDescent="0.25">
      <c r="A124" s="1568"/>
      <c r="B124" s="1582"/>
      <c r="C124" s="1569"/>
      <c r="D124" s="1728"/>
      <c r="E124" s="1467">
        <f t="shared" si="20"/>
        <v>0</v>
      </c>
      <c r="F124" s="1683">
        <f t="shared" si="21"/>
        <v>0</v>
      </c>
      <c r="G124" s="1684">
        <f t="shared" si="22"/>
        <v>0</v>
      </c>
    </row>
    <row r="125" spans="1:7" x14ac:dyDescent="0.25">
      <c r="A125" s="1568"/>
      <c r="B125" s="1582"/>
      <c r="C125" s="1569"/>
      <c r="D125" s="1728"/>
      <c r="E125" s="1467">
        <f t="shared" si="20"/>
        <v>0</v>
      </c>
      <c r="F125" s="1683">
        <f t="shared" si="21"/>
        <v>0</v>
      </c>
      <c r="G125" s="1684">
        <f t="shared" si="22"/>
        <v>0</v>
      </c>
    </row>
    <row r="126" spans="1:7" x14ac:dyDescent="0.25">
      <c r="A126" s="1568"/>
      <c r="B126" s="1582"/>
      <c r="C126" s="1569"/>
      <c r="D126" s="1728"/>
      <c r="E126" s="1467">
        <f t="shared" ref="E126:E134" si="23">IF(D126&lt;=25000,D126,IF(D126&gt;25000,25000,0))</f>
        <v>0</v>
      </c>
      <c r="F126" s="1683">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84">
        <f t="shared" ref="G126:G134" si="25">IF(F126=0,0,D126-F126)</f>
        <v>0</v>
      </c>
    </row>
    <row r="127" spans="1:7" x14ac:dyDescent="0.25">
      <c r="A127" s="1568"/>
      <c r="B127" s="1582"/>
      <c r="C127" s="1569"/>
      <c r="D127" s="1728"/>
      <c r="E127" s="1467">
        <f t="shared" si="23"/>
        <v>0</v>
      </c>
      <c r="F127" s="1683">
        <f t="shared" si="24"/>
        <v>0</v>
      </c>
      <c r="G127" s="1684">
        <f t="shared" si="25"/>
        <v>0</v>
      </c>
    </row>
    <row r="128" spans="1:7" x14ac:dyDescent="0.25">
      <c r="A128" s="1568"/>
      <c r="B128" s="1582"/>
      <c r="C128" s="1569"/>
      <c r="D128" s="1728"/>
      <c r="E128" s="1467">
        <f t="shared" si="23"/>
        <v>0</v>
      </c>
      <c r="F128" s="1683">
        <f t="shared" si="24"/>
        <v>0</v>
      </c>
      <c r="G128" s="1684">
        <f t="shared" si="25"/>
        <v>0</v>
      </c>
    </row>
    <row r="129" spans="1:7" x14ac:dyDescent="0.25">
      <c r="A129" s="1568"/>
      <c r="B129" s="1582"/>
      <c r="C129" s="1569"/>
      <c r="D129" s="1728"/>
      <c r="E129" s="1467">
        <f t="shared" si="23"/>
        <v>0</v>
      </c>
      <c r="F129" s="1683">
        <f t="shared" si="24"/>
        <v>0</v>
      </c>
      <c r="G129" s="1684">
        <f t="shared" si="25"/>
        <v>0</v>
      </c>
    </row>
    <row r="130" spans="1:7" x14ac:dyDescent="0.25">
      <c r="A130" s="1568"/>
      <c r="B130" s="1582"/>
      <c r="C130" s="1569"/>
      <c r="D130" s="1728"/>
      <c r="E130" s="1467">
        <f t="shared" si="23"/>
        <v>0</v>
      </c>
      <c r="F130" s="1683">
        <f t="shared" si="24"/>
        <v>0</v>
      </c>
      <c r="G130" s="1684">
        <f t="shared" si="25"/>
        <v>0</v>
      </c>
    </row>
    <row r="131" spans="1:7" x14ac:dyDescent="0.25">
      <c r="A131" s="1568"/>
      <c r="B131" s="1723"/>
      <c r="C131" s="1569"/>
      <c r="D131" s="1728"/>
      <c r="E131" s="1467">
        <f t="shared" si="23"/>
        <v>0</v>
      </c>
      <c r="F131" s="1683">
        <f t="shared" si="24"/>
        <v>0</v>
      </c>
      <c r="G131" s="1684">
        <f t="shared" si="25"/>
        <v>0</v>
      </c>
    </row>
    <row r="132" spans="1:7" x14ac:dyDescent="0.25">
      <c r="A132" s="1568"/>
      <c r="B132" s="1723"/>
      <c r="C132" s="1569"/>
      <c r="D132" s="1728"/>
      <c r="E132" s="1467">
        <f t="shared" si="23"/>
        <v>0</v>
      </c>
      <c r="F132" s="1683">
        <f t="shared" si="24"/>
        <v>0</v>
      </c>
      <c r="G132" s="1684">
        <f t="shared" si="25"/>
        <v>0</v>
      </c>
    </row>
    <row r="133" spans="1:7" x14ac:dyDescent="0.25">
      <c r="A133" s="1568"/>
      <c r="B133" s="1582"/>
      <c r="C133" s="1569"/>
      <c r="D133" s="1728"/>
      <c r="E133" s="1467">
        <f t="shared" si="23"/>
        <v>0</v>
      </c>
      <c r="F133" s="1683">
        <f t="shared" si="24"/>
        <v>0</v>
      </c>
      <c r="G133" s="1684">
        <f t="shared" si="25"/>
        <v>0</v>
      </c>
    </row>
    <row r="134" spans="1:7" x14ac:dyDescent="0.25">
      <c r="A134" s="1568"/>
      <c r="B134" s="1582"/>
      <c r="C134" s="1569"/>
      <c r="D134" s="1728"/>
      <c r="E134" s="1467">
        <f t="shared" si="23"/>
        <v>0</v>
      </c>
      <c r="F134" s="1683">
        <f t="shared" si="24"/>
        <v>0</v>
      </c>
      <c r="G134" s="1684">
        <f t="shared" si="25"/>
        <v>0</v>
      </c>
    </row>
    <row r="135" spans="1:7" x14ac:dyDescent="0.25">
      <c r="A135" s="1568"/>
      <c r="B135" s="1582"/>
      <c r="C135" s="1569"/>
      <c r="D135" s="1728"/>
      <c r="E135" s="1467">
        <f t="shared" ref="E135:E139" si="26">IF(D135&lt;=25000,D135,IF(D135&gt;25000,25000,0))</f>
        <v>0</v>
      </c>
      <c r="F135" s="1683">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84">
        <f t="shared" ref="G135:G139" si="28">IF(F135=0,0,D135-F135)</f>
        <v>0</v>
      </c>
    </row>
    <row r="136" spans="1:7" x14ac:dyDescent="0.25">
      <c r="A136" s="1568"/>
      <c r="B136" s="1582"/>
      <c r="C136" s="1569"/>
      <c r="D136" s="1728"/>
      <c r="E136" s="1467">
        <f t="shared" si="26"/>
        <v>0</v>
      </c>
      <c r="F136" s="1683">
        <f t="shared" si="27"/>
        <v>0</v>
      </c>
      <c r="G136" s="1684">
        <f t="shared" si="28"/>
        <v>0</v>
      </c>
    </row>
    <row r="137" spans="1:7" x14ac:dyDescent="0.25">
      <c r="A137" s="1568"/>
      <c r="B137" s="1582"/>
      <c r="C137" s="1569"/>
      <c r="D137" s="1728"/>
      <c r="E137" s="1467">
        <f t="shared" si="26"/>
        <v>0</v>
      </c>
      <c r="F137" s="1683">
        <f t="shared" si="27"/>
        <v>0</v>
      </c>
      <c r="G137" s="1684">
        <f t="shared" si="28"/>
        <v>0</v>
      </c>
    </row>
    <row r="138" spans="1:7" x14ac:dyDescent="0.25">
      <c r="A138" s="1568"/>
      <c r="B138" s="1582"/>
      <c r="C138" s="1569"/>
      <c r="D138" s="1728"/>
      <c r="E138" s="1467">
        <f t="shared" si="26"/>
        <v>0</v>
      </c>
      <c r="F138" s="1683">
        <f t="shared" si="27"/>
        <v>0</v>
      </c>
      <c r="G138" s="1684">
        <f t="shared" si="28"/>
        <v>0</v>
      </c>
    </row>
    <row r="139" spans="1:7" x14ac:dyDescent="0.25">
      <c r="A139" s="1568"/>
      <c r="B139" s="1582"/>
      <c r="C139" s="1569"/>
      <c r="D139" s="1728"/>
      <c r="E139" s="1467">
        <f t="shared" si="26"/>
        <v>0</v>
      </c>
      <c r="F139" s="1683">
        <f t="shared" si="27"/>
        <v>0</v>
      </c>
      <c r="G139" s="1684">
        <f t="shared" si="28"/>
        <v>0</v>
      </c>
    </row>
    <row r="140" spans="1:7" x14ac:dyDescent="0.25">
      <c r="A140" s="1568"/>
      <c r="B140" s="1581"/>
      <c r="C140" s="1569"/>
      <c r="D140" s="1728"/>
      <c r="E140" s="1467">
        <f t="shared" si="2"/>
        <v>0</v>
      </c>
      <c r="F140" s="1683">
        <f t="shared" si="3"/>
        <v>0</v>
      </c>
      <c r="G140" s="1684">
        <f t="shared" si="4"/>
        <v>0</v>
      </c>
    </row>
    <row r="141" spans="1:7" x14ac:dyDescent="0.25">
      <c r="A141" s="1687" t="s">
        <v>158</v>
      </c>
      <c r="B141" s="1688"/>
      <c r="C141" s="1689"/>
      <c r="D141" s="1685">
        <f>SUM(D17:D140)</f>
        <v>714026</v>
      </c>
      <c r="E141" s="1468">
        <f t="shared" si="1"/>
        <v>25000</v>
      </c>
      <c r="F141" s="1685">
        <f>SUM(F17:F140)</f>
        <v>235595</v>
      </c>
      <c r="G141" s="1686">
        <f>SUM(G17:G140)</f>
        <v>478431</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tabColor rgb="FFFF0000"/>
  </sheetPr>
  <dimension ref="A1:I46"/>
  <sheetViews>
    <sheetView showGridLines="0" defaultGridColor="0" colorId="8" zoomScale="75" zoomScaleNormal="75" workbookViewId="0">
      <selection activeCell="E11" sqref="E11"/>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49" t="s">
        <v>1176</v>
      </c>
      <c r="B1" s="1550"/>
      <c r="C1" s="1551"/>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52" t="s">
        <v>1777</v>
      </c>
      <c r="B5" s="2353"/>
      <c r="C5" s="2353"/>
      <c r="D5" s="2353"/>
      <c r="E5" s="2353"/>
      <c r="F5" s="2353"/>
      <c r="G5" s="2354"/>
      <c r="H5" s="248"/>
      <c r="I5" s="546"/>
    </row>
    <row r="6" spans="1:9" s="590" customFormat="1" x14ac:dyDescent="0.2">
      <c r="A6" s="1552"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2072</v>
      </c>
      <c r="B10" s="884"/>
      <c r="C10" s="889"/>
      <c r="D10" s="885"/>
      <c r="E10" s="886">
        <v>2408284</v>
      </c>
      <c r="F10" s="887"/>
      <c r="G10" s="888"/>
      <c r="H10" s="158"/>
      <c r="I10" s="158"/>
    </row>
    <row r="11" spans="1:9" s="590" customFormat="1" ht="22.5" customHeight="1" x14ac:dyDescent="0.2">
      <c r="A11" s="2357" t="s">
        <v>1941</v>
      </c>
      <c r="B11" s="2358"/>
      <c r="C11" s="2358"/>
      <c r="D11" s="2359"/>
      <c r="E11" s="890">
        <v>338639</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53" t="s">
        <v>552</v>
      </c>
      <c r="E17" s="1554"/>
      <c r="F17" s="1553" t="s">
        <v>452</v>
      </c>
      <c r="G17" s="1555"/>
      <c r="H17" s="158"/>
      <c r="I17" s="158"/>
    </row>
    <row r="18" spans="1:9" s="255" customFormat="1" ht="11.25" x14ac:dyDescent="0.2">
      <c r="A18" s="901"/>
      <c r="C18" s="902" t="s">
        <v>453</v>
      </c>
      <c r="D18" s="1556" t="s">
        <v>454</v>
      </c>
      <c r="E18" s="1556" t="s">
        <v>55</v>
      </c>
      <c r="F18" s="1556" t="s">
        <v>454</v>
      </c>
      <c r="G18" s="1556" t="s">
        <v>55</v>
      </c>
      <c r="H18" s="174"/>
      <c r="I18" s="174"/>
    </row>
    <row r="19" spans="1:9" s="590" customFormat="1" ht="12" customHeight="1" x14ac:dyDescent="0.2">
      <c r="A19" s="903" t="s">
        <v>475</v>
      </c>
      <c r="B19" s="904"/>
      <c r="C19" s="905" t="s">
        <v>590</v>
      </c>
      <c r="D19" s="1690"/>
      <c r="E19" s="1691">
        <f>'Expenditures 15-22'!K33-SUM('Expenditures 15-22'!G33,'Expenditures 15-22'!I33)+'Expenditures 15-22'!D229</f>
        <v>70597459</v>
      </c>
      <c r="F19" s="1690"/>
      <c r="G19" s="1692">
        <f>'Expenditures 15-22'!K33-SUM('Expenditures 15-22'!G33,'Expenditures 15-22'!I33)+'Expenditures 15-22'!D229</f>
        <v>70597459</v>
      </c>
      <c r="H19" s="900"/>
      <c r="I19" s="158"/>
    </row>
    <row r="20" spans="1:9" s="590" customFormat="1" ht="12" customHeight="1" x14ac:dyDescent="0.2">
      <c r="A20" s="903" t="s">
        <v>56</v>
      </c>
      <c r="B20" s="904"/>
      <c r="C20" s="906"/>
      <c r="D20" s="1693"/>
      <c r="E20" s="1693"/>
      <c r="F20" s="1693"/>
      <c r="G20" s="1694"/>
      <c r="H20" s="900"/>
      <c r="I20" s="158"/>
    </row>
    <row r="21" spans="1:9" s="590" customFormat="1" ht="12" customHeight="1" x14ac:dyDescent="0.2">
      <c r="A21" s="907" t="s">
        <v>420</v>
      </c>
      <c r="B21" s="908"/>
      <c r="C21" s="906">
        <v>2100</v>
      </c>
      <c r="D21" s="1693"/>
      <c r="E21" s="1695">
        <f>'Expenditures 15-22'!K42-SUM('Expenditures 15-22'!G42,'Expenditures 15-22'!I42)+'Expenditures 15-22'!K120-SUM('Expenditures 15-22'!G120,'Expenditures 15-22'!I120)+'Expenditures 15-22'!K180-SUM('Expenditures 15-22'!G180,'Expenditures 15-22'!I180)+'Expenditures 15-22'!D238</f>
        <v>7211623</v>
      </c>
      <c r="F21" s="1693"/>
      <c r="G21" s="1696">
        <f>'Expenditures 15-22'!K42-SUM('Expenditures 15-22'!G42,'Expenditures 15-22'!I42)+'Expenditures 15-22'!K120-SUM('Expenditures 15-22'!G120,'Expenditures 15-22'!I120)+'Expenditures 15-22'!K180-SUM('Expenditures 15-22'!G180,'Expenditures 15-22'!I180)+'Expenditures 15-22'!D238</f>
        <v>7211623</v>
      </c>
      <c r="H21" s="900"/>
      <c r="I21" s="158"/>
    </row>
    <row r="22" spans="1:9" s="590" customFormat="1" ht="12" customHeight="1" x14ac:dyDescent="0.2">
      <c r="A22" s="907" t="s">
        <v>584</v>
      </c>
      <c r="B22" s="908"/>
      <c r="C22" s="906">
        <v>2200</v>
      </c>
      <c r="D22" s="1693"/>
      <c r="E22" s="1695">
        <f>'Expenditures 15-22'!K47-SUM('Expenditures 15-22'!G47,'Expenditures 15-22'!I47)+'Expenditures 15-22'!D243</f>
        <v>7811432</v>
      </c>
      <c r="F22" s="1693"/>
      <c r="G22" s="1696">
        <f>'Expenditures 15-22'!K47-SUM('Expenditures 15-22'!G47,'Expenditures 15-22'!I47)+'Expenditures 15-22'!D243</f>
        <v>7811432</v>
      </c>
      <c r="H22" s="900"/>
      <c r="I22" s="158"/>
    </row>
    <row r="23" spans="1:9" s="590" customFormat="1" ht="12" customHeight="1" x14ac:dyDescent="0.2">
      <c r="A23" s="907" t="s">
        <v>585</v>
      </c>
      <c r="B23" s="908"/>
      <c r="C23" s="906">
        <v>2300</v>
      </c>
      <c r="D23" s="1693"/>
      <c r="E23" s="1695">
        <f>'Expenditures 15-22'!K53-SUM('Expenditures 15-22'!G53,'Expenditures 15-22'!I53)+'Expenditures 15-22'!D257+'Expenditures 15-22'!K330-SUM('Expenditures 15-22'!G330,'Expenditures 15-22'!I330)</f>
        <v>2224238</v>
      </c>
      <c r="F23" s="1693"/>
      <c r="G23" s="1695">
        <f>'Expenditures 15-22'!K53-SUM('Expenditures 15-22'!G53,'Expenditures 15-22'!I53)+'Expenditures 15-22'!D257+'Expenditures 15-22'!K330-SUM('Expenditures 15-22'!G330,'Expenditures 15-22'!I330)</f>
        <v>2224238</v>
      </c>
      <c r="H23" s="900"/>
      <c r="I23" s="158"/>
    </row>
    <row r="24" spans="1:9" s="590" customFormat="1" ht="12" customHeight="1" x14ac:dyDescent="0.2">
      <c r="A24" s="907" t="s">
        <v>586</v>
      </c>
      <c r="B24" s="908"/>
      <c r="C24" s="906">
        <v>2400</v>
      </c>
      <c r="D24" s="1693"/>
      <c r="E24" s="1695">
        <f>'Expenditures 15-22'!K57-SUM('Expenditures 15-22'!G57,'Expenditures 15-22'!I57)+'Expenditures 15-22'!D261</f>
        <v>8376908</v>
      </c>
      <c r="F24" s="1693"/>
      <c r="G24" s="1696">
        <f>'Expenditures 15-22'!K57-SUM('Expenditures 15-22'!G57,'Expenditures 15-22'!I57)+'Expenditures 15-22'!D261</f>
        <v>8376908</v>
      </c>
      <c r="H24" s="900"/>
      <c r="I24" s="158"/>
    </row>
    <row r="25" spans="1:9" s="590" customFormat="1" ht="12" customHeight="1" x14ac:dyDescent="0.2">
      <c r="A25" s="903" t="s">
        <v>587</v>
      </c>
      <c r="B25" s="909"/>
      <c r="C25" s="906"/>
      <c r="D25" s="1693"/>
      <c r="E25" s="1695"/>
      <c r="F25" s="1693"/>
      <c r="G25" s="1696"/>
      <c r="H25" s="900"/>
      <c r="I25" s="158"/>
    </row>
    <row r="26" spans="1:9" s="590" customFormat="1" ht="12" customHeight="1" x14ac:dyDescent="0.2">
      <c r="A26" s="907" t="s">
        <v>535</v>
      </c>
      <c r="B26" s="910"/>
      <c r="C26" s="906">
        <v>2510</v>
      </c>
      <c r="D26" s="1695">
        <f>'Expenditures 15-22'!K59-SUM('Expenditures 15-22'!G59,'Expenditures 15-22'!I59)+'Expenditures 15-22'!D263-E7</f>
        <v>184373</v>
      </c>
      <c r="E26" s="1695">
        <f>'Expenditures 15-22'!K122-SUM('Expenditures 15-22'!G122,'Expenditures 15-22'!I122)+E7</f>
        <v>0</v>
      </c>
      <c r="F26" s="1695">
        <f>'Expenditures 15-22'!K59-SUM('Expenditures 15-22'!G59,'Expenditures 15-22'!I59)+'Expenditures 15-22'!D263-E7</f>
        <v>184373</v>
      </c>
      <c r="G26" s="1696">
        <f>'Expenditures 15-22'!K122-SUM('Expenditures 15-22'!G122,'Expenditures 15-22'!I122)+E7</f>
        <v>0</v>
      </c>
      <c r="H26" s="900"/>
      <c r="I26" s="158"/>
    </row>
    <row r="27" spans="1:9" s="590" customFormat="1" ht="12" customHeight="1" x14ac:dyDescent="0.2">
      <c r="A27" s="907" t="s">
        <v>482</v>
      </c>
      <c r="B27" s="910"/>
      <c r="C27" s="906">
        <v>2520</v>
      </c>
      <c r="D27" s="1695">
        <f>'Expenditures 15-22'!K60-SUM('Expenditures 15-22'!G60,'Expenditures 15-22'!I60)+'Expenditures 15-22'!D264-E8</f>
        <v>561352</v>
      </c>
      <c r="E27" s="1695">
        <f>E8</f>
        <v>0</v>
      </c>
      <c r="F27" s="1695">
        <f>'Expenditures 15-22'!K60-SUM('Expenditures 15-22'!G60,'Expenditures 15-22'!I60)+'Expenditures 15-22'!D264-E8</f>
        <v>561352</v>
      </c>
      <c r="G27" s="1696">
        <f>E8</f>
        <v>0</v>
      </c>
      <c r="H27" s="900"/>
      <c r="I27" s="158"/>
    </row>
    <row r="28" spans="1:9" s="590" customFormat="1" ht="12" customHeight="1" x14ac:dyDescent="0.2">
      <c r="A28" s="907" t="s">
        <v>536</v>
      </c>
      <c r="B28" s="910"/>
      <c r="C28" s="906">
        <v>2540</v>
      </c>
      <c r="D28" s="1697"/>
      <c r="E28" s="1695">
        <f>'Expenditures 15-22'!K61-SUM('Expenditures 15-22'!G61,'Expenditures 15-22'!I61)+'Expenditures 15-22'!K124-SUM('Expenditures 15-22'!G124,'Expenditures 15-22'!I124)+'Expenditures 15-22'!D266</f>
        <v>10567124</v>
      </c>
      <c r="F28" s="1697">
        <f>'Expenditures 15-22'!K61-SUM('Expenditures 15-22'!G61,'Expenditures 15-22'!I61)+'Expenditures 15-22'!K124-SUM('Expenditures 15-22'!G124,'Expenditures 15-22'!I124)+'Expenditures 15-22'!D266-E9</f>
        <v>10567124</v>
      </c>
      <c r="G28" s="1696">
        <f>E9</f>
        <v>0</v>
      </c>
      <c r="H28" s="900"/>
      <c r="I28" s="158"/>
    </row>
    <row r="29" spans="1:9" ht="12" customHeight="1" x14ac:dyDescent="0.2">
      <c r="A29" s="907" t="s">
        <v>537</v>
      </c>
      <c r="B29" s="910"/>
      <c r="C29" s="906">
        <v>2550</v>
      </c>
      <c r="D29" s="1693"/>
      <c r="E29" s="1695">
        <f>'Expenditures 15-22'!K62-SUM('Expenditures 15-22'!G62,'Expenditures 15-22'!I62)+'Expenditures 15-22'!K125-SUM('Expenditures 15-22'!G125,'Expenditures 15-22'!I125)+'Expenditures 15-22'!K182-SUM('Expenditures 15-22'!G182,'Expenditures 15-22'!I182)+'Expenditures 15-22'!D267</f>
        <v>7449428</v>
      </c>
      <c r="F29" s="1693"/>
      <c r="G29" s="1696">
        <f>'Expenditures 15-22'!K62-SUM('Expenditures 15-22'!G62,'Expenditures 15-22'!I62)+'Expenditures 15-22'!K125-SUM('Expenditures 15-22'!G125,'Expenditures 15-22'!I125)+'Expenditures 15-22'!K182-SUM('Expenditures 15-22'!G182,'Expenditures 15-22'!I182)+'Expenditures 15-22'!D267</f>
        <v>7449428</v>
      </c>
      <c r="H29" s="898"/>
    </row>
    <row r="30" spans="1:9" ht="12" customHeight="1" x14ac:dyDescent="0.2">
      <c r="A30" s="907" t="s">
        <v>102</v>
      </c>
      <c r="B30" s="910"/>
      <c r="C30" s="906">
        <v>2560</v>
      </c>
      <c r="D30" s="1693"/>
      <c r="E30" s="1695">
        <f>'Expenditures 15-22'!K63-SUM('Expenditures 15-22'!G63,'Expenditures 15-22'!I63)+'Expenditures 15-22'!D268-E10</f>
        <v>1842761</v>
      </c>
      <c r="F30" s="1693"/>
      <c r="G30" s="1695">
        <f>'Expenditures 15-22'!K63-SUM('Expenditures 15-22'!G63,'Expenditures 15-22'!I63)+'Expenditures 15-22'!D268-E10</f>
        <v>1842761</v>
      </c>
    </row>
    <row r="31" spans="1:9" ht="12" customHeight="1" x14ac:dyDescent="0.2">
      <c r="A31" s="907" t="s">
        <v>103</v>
      </c>
      <c r="B31" s="910"/>
      <c r="C31" s="906">
        <v>2570</v>
      </c>
      <c r="D31" s="1695">
        <f>'Expenditures 15-22'!K64-SUM('Expenditures 15-22'!G64,'Expenditures 15-22'!I64)+'Expenditures 15-22'!D269-E12</f>
        <v>306028</v>
      </c>
      <c r="E31" s="1695">
        <f>E12</f>
        <v>0</v>
      </c>
      <c r="F31" s="1695">
        <f>'Expenditures 15-22'!K64-SUM('Expenditures 15-22'!G64,'Expenditures 15-22'!I64)+'Expenditures 15-22'!D269-E12</f>
        <v>306028</v>
      </c>
      <c r="G31" s="1695">
        <f>E12</f>
        <v>0</v>
      </c>
    </row>
    <row r="32" spans="1:9" ht="12" customHeight="1" x14ac:dyDescent="0.2">
      <c r="A32" s="903" t="s">
        <v>538</v>
      </c>
      <c r="B32" s="909"/>
      <c r="C32" s="906"/>
      <c r="D32" s="1693"/>
      <c r="E32" s="1693"/>
      <c r="F32" s="1693"/>
      <c r="G32" s="1693"/>
    </row>
    <row r="33" spans="1:7" ht="12" customHeight="1" x14ac:dyDescent="0.2">
      <c r="A33" s="907" t="s">
        <v>539</v>
      </c>
      <c r="B33" s="910"/>
      <c r="C33" s="906">
        <v>2610</v>
      </c>
      <c r="D33" s="1693"/>
      <c r="E33" s="1695">
        <f>'Expenditures 15-22'!K67-SUM('Expenditures 15-22'!G67,'Expenditures 15-22'!I67)+'Expenditures 15-22'!D272</f>
        <v>0</v>
      </c>
      <c r="F33" s="1693"/>
      <c r="G33" s="1695">
        <f>'Expenditures 15-22'!K67-SUM('Expenditures 15-22'!G67,'Expenditures 15-22'!I67)+'Expenditures 15-22'!D272</f>
        <v>0</v>
      </c>
    </row>
    <row r="34" spans="1:7" ht="12" customHeight="1" x14ac:dyDescent="0.2">
      <c r="A34" s="907" t="s">
        <v>540</v>
      </c>
      <c r="B34" s="910"/>
      <c r="C34" s="906">
        <v>2620</v>
      </c>
      <c r="D34" s="1693"/>
      <c r="E34" s="1695">
        <f>'Expenditures 15-22'!K68-SUM('Expenditures 15-22'!G68,'Expenditures 15-22'!I68)+'Expenditures 15-22'!D273</f>
        <v>0</v>
      </c>
      <c r="F34" s="1693"/>
      <c r="G34" s="1695">
        <f>'Expenditures 15-22'!K68-SUM('Expenditures 15-22'!G68,'Expenditures 15-22'!I68)+'Expenditures 15-22'!D273</f>
        <v>0</v>
      </c>
    </row>
    <row r="35" spans="1:7" ht="12" customHeight="1" x14ac:dyDescent="0.2">
      <c r="A35" s="907" t="s">
        <v>1120</v>
      </c>
      <c r="B35" s="910"/>
      <c r="C35" s="906">
        <v>2630</v>
      </c>
      <c r="D35" s="1693"/>
      <c r="E35" s="1695">
        <f>'Expenditures 15-22'!K69-SUM('Expenditures 15-22'!G69,'Expenditures 15-22'!I69)+'Expenditures 15-22'!D274</f>
        <v>668532</v>
      </c>
      <c r="F35" s="1693"/>
      <c r="G35" s="1695">
        <f>'Expenditures 15-22'!K69-SUM('Expenditures 15-22'!G69,'Expenditures 15-22'!I69)+'Expenditures 15-22'!D274</f>
        <v>668532</v>
      </c>
    </row>
    <row r="36" spans="1:7" ht="12" customHeight="1" x14ac:dyDescent="0.2">
      <c r="A36" s="907" t="s">
        <v>422</v>
      </c>
      <c r="B36" s="910"/>
      <c r="C36" s="906">
        <v>2640</v>
      </c>
      <c r="D36" s="1695">
        <f>'Expenditures 15-22'!K70-SUM('Expenditures 15-22'!G70,'Expenditures 15-22'!I70)+'Expenditures 15-22'!D275-E13</f>
        <v>789331</v>
      </c>
      <c r="E36" s="1695">
        <f>E13</f>
        <v>0</v>
      </c>
      <c r="F36" s="1695">
        <f>'Expenditures 15-22'!K70-SUM('Expenditures 15-22'!G70,'Expenditures 15-22'!I70)+'Expenditures 15-22'!D275-E13</f>
        <v>789331</v>
      </c>
      <c r="G36" s="1695">
        <f>E13</f>
        <v>0</v>
      </c>
    </row>
    <row r="37" spans="1:7" ht="12" customHeight="1" x14ac:dyDescent="0.2">
      <c r="A37" s="907" t="s">
        <v>423</v>
      </c>
      <c r="B37" s="910"/>
      <c r="C37" s="906">
        <v>2660</v>
      </c>
      <c r="D37" s="1695">
        <f>'Expenditures 15-22'!K71-SUM('Expenditures 15-22'!G71,'Expenditures 15-22'!I71)+'Expenditures 15-22'!D276-E14</f>
        <v>2568533</v>
      </c>
      <c r="E37" s="1695">
        <f>E14</f>
        <v>0</v>
      </c>
      <c r="F37" s="1695">
        <f>'Expenditures 15-22'!K71-SUM('Expenditures 15-22'!G71,'Expenditures 15-22'!I71)+'Expenditures 15-22'!D276-E14</f>
        <v>2568533</v>
      </c>
      <c r="G37" s="1695">
        <f>E14</f>
        <v>0</v>
      </c>
    </row>
    <row r="38" spans="1:7" ht="12" customHeight="1" x14ac:dyDescent="0.2">
      <c r="A38" s="903" t="s">
        <v>541</v>
      </c>
      <c r="B38" s="904"/>
      <c r="C38" s="906">
        <v>2900</v>
      </c>
      <c r="D38" s="1693"/>
      <c r="E38" s="1695">
        <f>'Expenditures 15-22'!K73-SUM('Expenditures 15-22'!G73,'Expenditures 15-22'!I73)+'Expenditures 15-22'!K128-SUM('Expenditures 15-22'!G128,'Expenditures 15-22'!I128)+'Expenditures 15-22'!K183-SUM('Expenditures 15-22'!G183,'Expenditures 15-22'!I183)+'Expenditures 15-22'!D278</f>
        <v>88266</v>
      </c>
      <c r="F38" s="1693"/>
      <c r="G38" s="1695">
        <f>'Expenditures 15-22'!K73-SUM('Expenditures 15-22'!G73,'Expenditures 15-22'!I73)+'Expenditures 15-22'!K128-SUM('Expenditures 15-22'!G128,'Expenditures 15-22'!I128)+'Expenditures 15-22'!K183-SUM('Expenditures 15-22'!G183,'Expenditures 15-22'!I183)+'Expenditures 15-22'!D278</f>
        <v>88266</v>
      </c>
    </row>
    <row r="39" spans="1:7" ht="12" customHeight="1" x14ac:dyDescent="0.2">
      <c r="A39" s="903" t="s">
        <v>468</v>
      </c>
      <c r="B39" s="904"/>
      <c r="C39" s="906">
        <v>3000</v>
      </c>
      <c r="D39" s="1693"/>
      <c r="E39" s="1695">
        <f>'Expenditures 15-22'!K75-SUM('Expenditures 15-22'!G75,'Expenditures 15-22'!I75)+'Expenditures 15-22'!K130-SUM('Expenditures 15-22'!G130,'Expenditures 15-22'!I130)+'Expenditures 15-22'!K185-SUM('Expenditures 15-22'!G185,'Expenditures 15-22'!I185)+'Expenditures 15-22'!D280</f>
        <v>1664379</v>
      </c>
      <c r="F39" s="1693"/>
      <c r="G39" s="1695">
        <f>'Expenditures 15-22'!K75-SUM('Expenditures 15-22'!G75,'Expenditures 15-22'!I75)+'Expenditures 15-22'!K130-SUM('Expenditures 15-22'!G130,'Expenditures 15-22'!I130)+'Expenditures 15-22'!K185-SUM('Expenditures 15-22'!G185,'Expenditures 15-22'!I185)+'Expenditures 15-22'!D280</f>
        <v>1664379</v>
      </c>
    </row>
    <row r="40" spans="1:7" ht="12" customHeight="1" x14ac:dyDescent="0.2">
      <c r="A40" s="903" t="s">
        <v>1926</v>
      </c>
      <c r="B40" s="904"/>
      <c r="C40" s="906"/>
      <c r="D40" s="1693"/>
      <c r="E40" s="1697">
        <f>-'Contracts Paid in CY 29'!G141</f>
        <v>-478431</v>
      </c>
      <c r="F40" s="1693"/>
      <c r="G40" s="1697">
        <f>-'Contracts Paid in CY 29'!G141</f>
        <v>-478431</v>
      </c>
    </row>
    <row r="41" spans="1:7" ht="12" customHeight="1" x14ac:dyDescent="0.2">
      <c r="A41" s="911" t="s">
        <v>158</v>
      </c>
      <c r="B41" s="912"/>
      <c r="C41" s="913"/>
      <c r="D41" s="1697">
        <f>SUM(D19:D39)</f>
        <v>4409617</v>
      </c>
      <c r="E41" s="1697">
        <f>SUM(E19:E40)</f>
        <v>118023719</v>
      </c>
      <c r="F41" s="1697">
        <f>SUM(F19:F39)</f>
        <v>14976741</v>
      </c>
      <c r="G41" s="1697">
        <f>SUM(G19:G40)</f>
        <v>107456595</v>
      </c>
    </row>
    <row r="42" spans="1:7" x14ac:dyDescent="0.2">
      <c r="A42" s="900"/>
      <c r="B42" s="158"/>
      <c r="C42" s="914"/>
      <c r="D42" s="2355" t="s">
        <v>542</v>
      </c>
      <c r="E42" s="2356"/>
      <c r="F42" s="915" t="s">
        <v>543</v>
      </c>
      <c r="G42" s="916"/>
    </row>
    <row r="43" spans="1:7" ht="12" customHeight="1" x14ac:dyDescent="0.2">
      <c r="A43" s="900"/>
      <c r="B43" s="158"/>
      <c r="C43" s="914"/>
      <c r="D43" s="1698" t="s">
        <v>492</v>
      </c>
      <c r="E43" s="1699">
        <f>D41</f>
        <v>4409617</v>
      </c>
      <c r="F43" s="1698" t="s">
        <v>494</v>
      </c>
      <c r="G43" s="1699">
        <f>F41</f>
        <v>14976741</v>
      </c>
    </row>
    <row r="44" spans="1:7" ht="12" customHeight="1" x14ac:dyDescent="0.2">
      <c r="A44" s="900"/>
      <c r="B44" s="158"/>
      <c r="C44" s="914"/>
      <c r="D44" s="1698" t="s">
        <v>493</v>
      </c>
      <c r="E44" s="1699">
        <f>E41</f>
        <v>118023719</v>
      </c>
      <c r="F44" s="1698" t="s">
        <v>493</v>
      </c>
      <c r="G44" s="1699">
        <f>G41</f>
        <v>107456595</v>
      </c>
    </row>
    <row r="45" spans="1:7" ht="12" customHeight="1" x14ac:dyDescent="0.2">
      <c r="A45" s="900"/>
      <c r="B45" s="158"/>
      <c r="C45" s="158"/>
      <c r="D45" s="1700" t="s">
        <v>1062</v>
      </c>
      <c r="E45" s="1701">
        <f>(E43/E44)</f>
        <v>3.7362125489368792E-2</v>
      </c>
      <c r="F45" s="1700" t="s">
        <v>1062</v>
      </c>
      <c r="G45" s="1701">
        <f>(G43/G44)</f>
        <v>0.13937479593504706</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FF0000"/>
    <pageSetUpPr fitToPage="1"/>
  </sheetPr>
  <dimension ref="A1:L97"/>
  <sheetViews>
    <sheetView showGridLines="0" view="pageBreakPreview" zoomScale="98" zoomScaleNormal="110" zoomScaleSheetLayoutView="98" workbookViewId="0">
      <pane ySplit="4" topLeftCell="A5" activePane="bottomLeft" state="frozen"/>
      <selection activeCell="A47" sqref="A47"/>
      <selection pane="bottomLeft" activeCell="A5" sqref="A5:F5"/>
    </sheetView>
  </sheetViews>
  <sheetFormatPr defaultColWidth="9.140625" defaultRowHeight="12.75" x14ac:dyDescent="0.2"/>
  <cols>
    <col min="1" max="1" width="54.5703125" style="1761" customWidth="1"/>
    <col min="2" max="2" width="4.140625" style="1761" customWidth="1"/>
    <col min="3" max="4" width="9.85546875" style="1732" customWidth="1"/>
    <col min="5" max="5" width="12.5703125" style="1762" customWidth="1"/>
    <col min="6" max="6" width="67.5703125" style="1732" customWidth="1"/>
    <col min="7" max="7" width="9.140625" style="1732" customWidth="1"/>
    <col min="8" max="8" width="5.5703125" style="1763" bestFit="1" customWidth="1"/>
    <col min="9" max="10" width="2" style="1763" bestFit="1" customWidth="1"/>
    <col min="11" max="11" width="9" style="1763" customWidth="1"/>
    <col min="12" max="16384" width="9.140625" style="1732"/>
  </cols>
  <sheetData>
    <row r="1" spans="1:10" x14ac:dyDescent="0.2">
      <c r="A1" s="2363" t="s">
        <v>1445</v>
      </c>
      <c r="B1" s="2363"/>
      <c r="C1" s="2363"/>
      <c r="D1" s="2363"/>
      <c r="E1" s="2363"/>
      <c r="F1" s="2363"/>
    </row>
    <row r="2" spans="1:10" x14ac:dyDescent="0.2">
      <c r="A2" s="1772" t="s">
        <v>2044</v>
      </c>
      <c r="B2" s="1733"/>
      <c r="C2" s="1772"/>
      <c r="D2" s="1733"/>
      <c r="E2" s="1733"/>
      <c r="F2" s="1734"/>
    </row>
    <row r="3" spans="1:10" x14ac:dyDescent="0.2">
      <c r="A3" s="1772" t="s">
        <v>1699</v>
      </c>
      <c r="B3" s="1733"/>
      <c r="C3" s="1772"/>
      <c r="D3" s="1733"/>
      <c r="E3" s="1733"/>
      <c r="F3" s="1734"/>
    </row>
    <row r="4" spans="1:10" ht="3.75" customHeight="1" x14ac:dyDescent="0.2">
      <c r="A4" s="1733"/>
      <c r="B4" s="1733"/>
      <c r="C4" s="1733"/>
      <c r="D4" s="1733"/>
      <c r="E4" s="1733"/>
      <c r="F4" s="1734"/>
    </row>
    <row r="5" spans="1:10" ht="15" x14ac:dyDescent="0.25">
      <c r="A5" s="2364" t="s">
        <v>1626</v>
      </c>
      <c r="B5" s="2365"/>
      <c r="C5" s="2366"/>
      <c r="D5" s="2366"/>
      <c r="E5" s="2366"/>
      <c r="F5" s="2366"/>
    </row>
    <row r="6" spans="1:10" ht="12" customHeight="1" x14ac:dyDescent="0.25">
      <c r="A6" s="1735"/>
      <c r="B6" s="1736"/>
      <c r="C6" s="2367" t="str">
        <f>COVER!A17</f>
        <v>Champaign Community Unit School District 4</v>
      </c>
      <c r="D6" s="2367"/>
      <c r="E6" s="2367"/>
      <c r="F6" s="1737"/>
    </row>
    <row r="7" spans="1:10" ht="11.25" customHeight="1" thickBot="1" x14ac:dyDescent="0.3">
      <c r="A7" s="1735"/>
      <c r="B7" s="1736"/>
      <c r="C7" s="2368">
        <f>COVER!A13</f>
        <v>9010004026</v>
      </c>
      <c r="D7" s="2368"/>
      <c r="E7" s="2368"/>
      <c r="F7" s="1737"/>
    </row>
    <row r="8" spans="1:10" ht="25.5" customHeight="1" thickBot="1" x14ac:dyDescent="0.25">
      <c r="A8" s="1778" t="s">
        <v>2021</v>
      </c>
      <c r="B8" s="1738"/>
      <c r="C8" s="1774" t="s">
        <v>1779</v>
      </c>
      <c r="D8" s="1773" t="s">
        <v>1780</v>
      </c>
      <c r="E8" s="1775" t="s">
        <v>1446</v>
      </c>
      <c r="F8" s="1773" t="s">
        <v>1781</v>
      </c>
      <c r="H8" s="1739" t="b">
        <v>0</v>
      </c>
    </row>
    <row r="9" spans="1:10" ht="15.75" customHeight="1" x14ac:dyDescent="0.2">
      <c r="A9" s="1740" t="s">
        <v>1622</v>
      </c>
      <c r="B9" s="1741"/>
      <c r="C9" s="1742"/>
      <c r="D9" s="1742"/>
      <c r="E9" s="1743"/>
      <c r="F9" s="1744"/>
    </row>
    <row r="10" spans="1:10" ht="27.75" customHeight="1" x14ac:dyDescent="0.2">
      <c r="A10" s="1745" t="s">
        <v>1778</v>
      </c>
      <c r="B10" s="1746"/>
      <c r="C10" s="1747"/>
      <c r="D10" s="1747"/>
      <c r="E10" s="1776" t="s">
        <v>1447</v>
      </c>
      <c r="F10" s="1777" t="s">
        <v>1448</v>
      </c>
    </row>
    <row r="11" spans="1:10" ht="12" customHeight="1" x14ac:dyDescent="0.2">
      <c r="A11" s="1748" t="s">
        <v>1449</v>
      </c>
      <c r="B11" s="1749"/>
      <c r="C11" s="1750"/>
      <c r="D11" s="1750"/>
      <c r="E11" s="1751"/>
      <c r="F11" s="1752"/>
      <c r="H11" s="1763">
        <f>IF(C11="X",5,0)</f>
        <v>0</v>
      </c>
      <c r="I11" s="1763">
        <f>IF(D11="X",5,0)</f>
        <v>0</v>
      </c>
      <c r="J11" s="1763">
        <f>IF(E11="X",5,0)</f>
        <v>0</v>
      </c>
    </row>
    <row r="12" spans="1:10" ht="12" customHeight="1" x14ac:dyDescent="0.2">
      <c r="A12" s="1748" t="s">
        <v>1450</v>
      </c>
      <c r="B12" s="1749"/>
      <c r="C12" s="1750"/>
      <c r="D12" s="1750"/>
      <c r="E12" s="1753"/>
      <c r="F12" s="1752"/>
      <c r="H12" s="1763">
        <f t="shared" ref="H12:H33" si="0">IF(C12="X",5,0)</f>
        <v>0</v>
      </c>
      <c r="I12" s="1763">
        <f t="shared" ref="I12:I33" si="1">IF(D12="X",5,0)</f>
        <v>0</v>
      </c>
      <c r="J12" s="1763">
        <f t="shared" ref="J12:J33" si="2">IF(E12="X",5,0)</f>
        <v>0</v>
      </c>
    </row>
    <row r="13" spans="1:10" ht="12" customHeight="1" x14ac:dyDescent="0.2">
      <c r="A13" s="1748" t="s">
        <v>1451</v>
      </c>
      <c r="B13" s="1749"/>
      <c r="C13" s="1750"/>
      <c r="D13" s="1750"/>
      <c r="E13" s="1753"/>
      <c r="F13" s="1752"/>
      <c r="H13" s="1763">
        <f t="shared" si="0"/>
        <v>0</v>
      </c>
      <c r="I13" s="1763">
        <f t="shared" si="1"/>
        <v>0</v>
      </c>
      <c r="J13" s="1763">
        <f t="shared" si="2"/>
        <v>0</v>
      </c>
    </row>
    <row r="14" spans="1:10" ht="12" customHeight="1" x14ac:dyDescent="0.2">
      <c r="A14" s="1748" t="s">
        <v>1452</v>
      </c>
      <c r="B14" s="1749"/>
      <c r="C14" s="1750"/>
      <c r="D14" s="1750"/>
      <c r="E14" s="1753"/>
      <c r="F14" s="1752"/>
      <c r="H14" s="1763">
        <f t="shared" si="0"/>
        <v>0</v>
      </c>
      <c r="I14" s="1763">
        <f t="shared" si="1"/>
        <v>0</v>
      </c>
      <c r="J14" s="1763">
        <f t="shared" si="2"/>
        <v>0</v>
      </c>
    </row>
    <row r="15" spans="1:10" ht="12" customHeight="1" x14ac:dyDescent="0.2">
      <c r="A15" s="1748" t="s">
        <v>1453</v>
      </c>
      <c r="B15" s="1749"/>
      <c r="C15" s="1750"/>
      <c r="D15" s="1750"/>
      <c r="E15" s="1753"/>
      <c r="F15" s="1752"/>
      <c r="H15" s="1763">
        <f t="shared" si="0"/>
        <v>0</v>
      </c>
      <c r="I15" s="1763">
        <f t="shared" si="1"/>
        <v>0</v>
      </c>
      <c r="J15" s="1763">
        <f t="shared" si="2"/>
        <v>0</v>
      </c>
    </row>
    <row r="16" spans="1:10" ht="12" customHeight="1" x14ac:dyDescent="0.2">
      <c r="A16" s="1748" t="s">
        <v>1454</v>
      </c>
      <c r="B16" s="1749"/>
      <c r="C16" s="1750"/>
      <c r="D16" s="1750"/>
      <c r="E16" s="1753"/>
      <c r="F16" s="1752"/>
      <c r="H16" s="1763">
        <f t="shared" si="0"/>
        <v>0</v>
      </c>
      <c r="I16" s="1763">
        <f t="shared" si="1"/>
        <v>0</v>
      </c>
      <c r="J16" s="1763">
        <f t="shared" si="2"/>
        <v>0</v>
      </c>
    </row>
    <row r="17" spans="1:12" ht="12" customHeight="1" x14ac:dyDescent="0.2">
      <c r="A17" s="1748" t="s">
        <v>1455</v>
      </c>
      <c r="B17" s="1749"/>
      <c r="C17" s="1750"/>
      <c r="D17" s="1750"/>
      <c r="E17" s="1753"/>
      <c r="F17" s="1752"/>
      <c r="H17" s="1763">
        <f t="shared" si="0"/>
        <v>0</v>
      </c>
      <c r="I17" s="1763">
        <f t="shared" si="1"/>
        <v>0</v>
      </c>
      <c r="J17" s="1763">
        <f t="shared" si="2"/>
        <v>0</v>
      </c>
    </row>
    <row r="18" spans="1:12" ht="12" customHeight="1" x14ac:dyDescent="0.2">
      <c r="A18" s="1748" t="s">
        <v>1456</v>
      </c>
      <c r="B18" s="1749"/>
      <c r="C18" s="1750"/>
      <c r="D18" s="1750"/>
      <c r="E18" s="1753"/>
      <c r="F18" s="1752"/>
      <c r="H18" s="1763">
        <f t="shared" si="0"/>
        <v>0</v>
      </c>
      <c r="I18" s="1763">
        <f t="shared" si="1"/>
        <v>0</v>
      </c>
      <c r="J18" s="1763">
        <f t="shared" si="2"/>
        <v>0</v>
      </c>
    </row>
    <row r="19" spans="1:12" ht="12" customHeight="1" x14ac:dyDescent="0.2">
      <c r="A19" s="1748" t="s">
        <v>1607</v>
      </c>
      <c r="B19" s="1749"/>
      <c r="C19" s="1750"/>
      <c r="D19" s="1750"/>
      <c r="E19" s="1753"/>
      <c r="F19" s="1752"/>
      <c r="H19" s="1763">
        <f t="shared" si="0"/>
        <v>0</v>
      </c>
      <c r="I19" s="1763">
        <f t="shared" si="1"/>
        <v>0</v>
      </c>
      <c r="J19" s="1763">
        <f t="shared" si="2"/>
        <v>0</v>
      </c>
    </row>
    <row r="20" spans="1:12" ht="12" customHeight="1" x14ac:dyDescent="0.2">
      <c r="A20" s="1748" t="s">
        <v>1608</v>
      </c>
      <c r="B20" s="1749"/>
      <c r="C20" s="1750"/>
      <c r="D20" s="1750"/>
      <c r="E20" s="1753"/>
      <c r="F20" s="1752"/>
      <c r="H20" s="1763">
        <f t="shared" si="0"/>
        <v>0</v>
      </c>
      <c r="I20" s="1763">
        <f t="shared" si="1"/>
        <v>0</v>
      </c>
      <c r="J20" s="1763">
        <f t="shared" si="2"/>
        <v>0</v>
      </c>
    </row>
    <row r="21" spans="1:12" ht="12" customHeight="1" x14ac:dyDescent="0.2">
      <c r="A21" s="1748" t="s">
        <v>1609</v>
      </c>
      <c r="B21" s="1749"/>
      <c r="C21" s="1750"/>
      <c r="D21" s="1750"/>
      <c r="E21" s="1753"/>
      <c r="F21" s="1752"/>
      <c r="H21" s="1763">
        <f t="shared" si="0"/>
        <v>0</v>
      </c>
      <c r="I21" s="1763">
        <f t="shared" si="1"/>
        <v>0</v>
      </c>
      <c r="J21" s="1763">
        <f t="shared" si="2"/>
        <v>0</v>
      </c>
    </row>
    <row r="22" spans="1:12" ht="12" customHeight="1" x14ac:dyDescent="0.2">
      <c r="A22" s="1748" t="s">
        <v>1610</v>
      </c>
      <c r="B22" s="1749"/>
      <c r="C22" s="1750"/>
      <c r="D22" s="1750"/>
      <c r="E22" s="1753"/>
      <c r="F22" s="1752"/>
      <c r="H22" s="1763">
        <f t="shared" si="0"/>
        <v>0</v>
      </c>
      <c r="I22" s="1763">
        <f t="shared" si="1"/>
        <v>0</v>
      </c>
      <c r="J22" s="1763">
        <f t="shared" si="2"/>
        <v>0</v>
      </c>
    </row>
    <row r="23" spans="1:12" ht="12" customHeight="1" x14ac:dyDescent="0.2">
      <c r="A23" s="1748" t="s">
        <v>1611</v>
      </c>
      <c r="B23" s="1749"/>
      <c r="C23" s="1750"/>
      <c r="D23" s="1750"/>
      <c r="E23" s="1753"/>
      <c r="F23" s="1752"/>
      <c r="H23" s="1763">
        <f t="shared" si="0"/>
        <v>0</v>
      </c>
      <c r="I23" s="1763">
        <f t="shared" si="1"/>
        <v>0</v>
      </c>
      <c r="J23" s="1763">
        <f t="shared" si="2"/>
        <v>0</v>
      </c>
    </row>
    <row r="24" spans="1:12" ht="12" customHeight="1" x14ac:dyDescent="0.2">
      <c r="A24" s="1748" t="s">
        <v>1612</v>
      </c>
      <c r="B24" s="1749"/>
      <c r="C24" s="1750"/>
      <c r="D24" s="1750"/>
      <c r="E24" s="1753"/>
      <c r="F24" s="1752"/>
      <c r="H24" s="1763">
        <f t="shared" si="0"/>
        <v>0</v>
      </c>
      <c r="I24" s="1763">
        <f t="shared" si="1"/>
        <v>0</v>
      </c>
      <c r="J24" s="1763">
        <f t="shared" si="2"/>
        <v>0</v>
      </c>
    </row>
    <row r="25" spans="1:12" ht="12" customHeight="1" x14ac:dyDescent="0.2">
      <c r="A25" s="1748" t="s">
        <v>1613</v>
      </c>
      <c r="B25" s="1749"/>
      <c r="C25" s="1750"/>
      <c r="D25" s="1750"/>
      <c r="E25" s="1753"/>
      <c r="F25" s="1752"/>
      <c r="H25" s="1763">
        <f t="shared" si="0"/>
        <v>0</v>
      </c>
      <c r="I25" s="1763">
        <f t="shared" si="1"/>
        <v>0</v>
      </c>
      <c r="J25" s="1763">
        <f t="shared" si="2"/>
        <v>0</v>
      </c>
    </row>
    <row r="26" spans="1:12" ht="12" customHeight="1" x14ac:dyDescent="0.2">
      <c r="A26" s="1748" t="s">
        <v>1614</v>
      </c>
      <c r="B26" s="1749"/>
      <c r="C26" s="1750"/>
      <c r="D26" s="1750"/>
      <c r="E26" s="1753"/>
      <c r="F26" s="1752"/>
      <c r="H26" s="1763">
        <f t="shared" si="0"/>
        <v>0</v>
      </c>
      <c r="I26" s="1763">
        <f t="shared" si="1"/>
        <v>0</v>
      </c>
      <c r="J26" s="1763">
        <f t="shared" si="2"/>
        <v>0</v>
      </c>
    </row>
    <row r="27" spans="1:12" ht="18.75" x14ac:dyDescent="0.2">
      <c r="A27" s="1748" t="s">
        <v>1615</v>
      </c>
      <c r="B27" s="1749"/>
      <c r="C27" s="1750"/>
      <c r="D27" s="1750"/>
      <c r="E27" s="1753"/>
      <c r="F27" s="1752"/>
      <c r="H27" s="1763">
        <f t="shared" si="0"/>
        <v>0</v>
      </c>
      <c r="I27" s="1763">
        <f t="shared" si="1"/>
        <v>0</v>
      </c>
      <c r="J27" s="1763">
        <f t="shared" si="2"/>
        <v>0</v>
      </c>
    </row>
    <row r="28" spans="1:12" ht="12" customHeight="1" x14ac:dyDescent="0.2">
      <c r="A28" s="1748" t="s">
        <v>1616</v>
      </c>
      <c r="B28" s="1749"/>
      <c r="C28" s="1750"/>
      <c r="D28" s="1750"/>
      <c r="E28" s="1753"/>
      <c r="F28" s="1752"/>
      <c r="H28" s="1763">
        <f t="shared" si="0"/>
        <v>0</v>
      </c>
      <c r="I28" s="1763">
        <f t="shared" si="1"/>
        <v>0</v>
      </c>
      <c r="J28" s="1763">
        <f t="shared" si="2"/>
        <v>0</v>
      </c>
    </row>
    <row r="29" spans="1:12" ht="12" customHeight="1" x14ac:dyDescent="0.2">
      <c r="A29" s="1748" t="s">
        <v>1617</v>
      </c>
      <c r="B29" s="1749"/>
      <c r="C29" s="1750"/>
      <c r="D29" s="1750"/>
      <c r="E29" s="1753"/>
      <c r="F29" s="1752"/>
      <c r="H29" s="1763">
        <f t="shared" si="0"/>
        <v>0</v>
      </c>
      <c r="I29" s="1763">
        <f t="shared" si="1"/>
        <v>0</v>
      </c>
      <c r="J29" s="1763">
        <f t="shared" si="2"/>
        <v>0</v>
      </c>
    </row>
    <row r="30" spans="1:12" ht="12" customHeight="1" x14ac:dyDescent="0.2">
      <c r="A30" s="1748" t="s">
        <v>1618</v>
      </c>
      <c r="B30" s="1749"/>
      <c r="C30" s="1750"/>
      <c r="D30" s="1750"/>
      <c r="E30" s="1753"/>
      <c r="F30" s="1752"/>
      <c r="H30" s="1763">
        <f t="shared" si="0"/>
        <v>0</v>
      </c>
      <c r="I30" s="1763">
        <f t="shared" si="1"/>
        <v>0</v>
      </c>
      <c r="J30" s="1763">
        <f t="shared" si="2"/>
        <v>0</v>
      </c>
    </row>
    <row r="31" spans="1:12" ht="12" customHeight="1" x14ac:dyDescent="0.2">
      <c r="A31" s="1748" t="s">
        <v>1619</v>
      </c>
      <c r="B31" s="1749"/>
      <c r="C31" s="1750"/>
      <c r="D31" s="1750"/>
      <c r="E31" s="1753"/>
      <c r="F31" s="1752"/>
      <c r="H31" s="1763">
        <f t="shared" si="0"/>
        <v>0</v>
      </c>
      <c r="I31" s="1763">
        <f t="shared" si="1"/>
        <v>0</v>
      </c>
      <c r="J31" s="1763">
        <f t="shared" si="2"/>
        <v>0</v>
      </c>
      <c r="L31" s="1754"/>
    </row>
    <row r="32" spans="1:12" ht="12" customHeight="1" x14ac:dyDescent="0.2">
      <c r="A32" s="1748" t="s">
        <v>1620</v>
      </c>
      <c r="B32" s="1749"/>
      <c r="C32" s="1750" t="s">
        <v>2086</v>
      </c>
      <c r="D32" s="1750" t="s">
        <v>2086</v>
      </c>
      <c r="E32" s="1753"/>
      <c r="F32" s="1752" t="s">
        <v>2242</v>
      </c>
      <c r="H32" s="1763">
        <f t="shared" si="0"/>
        <v>5</v>
      </c>
      <c r="I32" s="1763">
        <f t="shared" si="1"/>
        <v>5</v>
      </c>
      <c r="J32" s="1763">
        <f t="shared" si="2"/>
        <v>0</v>
      </c>
    </row>
    <row r="33" spans="1:11" ht="12" customHeight="1" x14ac:dyDescent="0.2">
      <c r="A33" s="1748" t="s">
        <v>1621</v>
      </c>
      <c r="B33" s="1749"/>
      <c r="C33" s="1750"/>
      <c r="D33" s="1750"/>
      <c r="E33" s="1753"/>
      <c r="F33" s="1752"/>
      <c r="H33" s="1763">
        <f t="shared" si="0"/>
        <v>0</v>
      </c>
      <c r="I33" s="1763">
        <f t="shared" si="1"/>
        <v>0</v>
      </c>
      <c r="J33" s="1763">
        <f t="shared" si="2"/>
        <v>0</v>
      </c>
    </row>
    <row r="34" spans="1:11" ht="12" customHeight="1" x14ac:dyDescent="0.25">
      <c r="A34" s="1755"/>
      <c r="B34" s="1755"/>
      <c r="C34" s="1755"/>
      <c r="D34" s="1755"/>
      <c r="E34" s="1755"/>
      <c r="F34" s="1755"/>
      <c r="H34" s="1763">
        <f>SUM(H11:H32)</f>
        <v>5</v>
      </c>
      <c r="I34" s="1763">
        <f>SUM(I11:I32)</f>
        <v>5</v>
      </c>
      <c r="J34" s="1763">
        <f>SUM(J11:J32)</f>
        <v>0</v>
      </c>
      <c r="K34" s="1763">
        <f>SUM(H34:J34)</f>
        <v>10</v>
      </c>
    </row>
    <row r="35" spans="1:11" ht="12" customHeight="1" x14ac:dyDescent="0.2">
      <c r="A35" s="1756" t="s">
        <v>1458</v>
      </c>
      <c r="B35" s="1757"/>
      <c r="C35" s="2369"/>
      <c r="D35" s="2369"/>
      <c r="E35" s="2369"/>
      <c r="F35" s="2370"/>
    </row>
    <row r="36" spans="1:11" ht="12" customHeight="1" x14ac:dyDescent="0.2">
      <c r="A36" s="2360"/>
      <c r="B36" s="2361"/>
      <c r="C36" s="2361"/>
      <c r="D36" s="2361"/>
      <c r="E36" s="2361"/>
      <c r="F36" s="2362"/>
    </row>
    <row r="37" spans="1:11" ht="12" customHeight="1" x14ac:dyDescent="0.2">
      <c r="A37" s="2360"/>
      <c r="B37" s="2361"/>
      <c r="C37" s="2361"/>
      <c r="D37" s="2361"/>
      <c r="E37" s="2361"/>
      <c r="F37" s="2362"/>
    </row>
    <row r="38" spans="1:11" ht="12" customHeight="1" x14ac:dyDescent="0.2">
      <c r="A38" s="2374"/>
      <c r="B38" s="2375"/>
      <c r="C38" s="2375"/>
      <c r="D38" s="2375"/>
      <c r="E38" s="2375"/>
      <c r="F38" s="2376"/>
    </row>
    <row r="39" spans="1:11" ht="4.5" hidden="1" customHeight="1" x14ac:dyDescent="0.2">
      <c r="A39" s="1758"/>
      <c r="B39" s="1758"/>
      <c r="C39" s="1758"/>
      <c r="D39" s="1758"/>
      <c r="E39" s="1758"/>
      <c r="F39" s="1758"/>
    </row>
    <row r="40" spans="1:11" s="1755" customFormat="1" ht="12" customHeight="1" x14ac:dyDescent="0.25">
      <c r="A40" s="1759" t="s">
        <v>1457</v>
      </c>
      <c r="B40" s="1760"/>
      <c r="C40" s="2377"/>
      <c r="D40" s="2377"/>
      <c r="E40" s="2377"/>
      <c r="F40" s="2378"/>
      <c r="H40" s="1764"/>
      <c r="I40" s="1764"/>
      <c r="J40" s="1764"/>
      <c r="K40" s="1764"/>
    </row>
    <row r="41" spans="1:11" s="1755" customFormat="1" ht="12" customHeight="1" x14ac:dyDescent="0.25">
      <c r="A41" s="2379"/>
      <c r="B41" s="2380"/>
      <c r="C41" s="2380"/>
      <c r="D41" s="2380"/>
      <c r="E41" s="2380"/>
      <c r="F41" s="2381"/>
      <c r="H41" s="1764"/>
      <c r="I41" s="1764"/>
      <c r="J41" s="1764"/>
      <c r="K41" s="1764"/>
    </row>
    <row r="42" spans="1:11" s="1755" customFormat="1" ht="12" customHeight="1" x14ac:dyDescent="0.25">
      <c r="A42" s="2379"/>
      <c r="B42" s="2380"/>
      <c r="C42" s="2380"/>
      <c r="D42" s="2380"/>
      <c r="E42" s="2380"/>
      <c r="F42" s="2381"/>
      <c r="H42" s="1764"/>
      <c r="I42" s="1764"/>
      <c r="J42" s="1764"/>
      <c r="K42" s="1764"/>
    </row>
    <row r="43" spans="1:11" s="1755" customFormat="1" ht="15" x14ac:dyDescent="0.25">
      <c r="A43" s="2371"/>
      <c r="B43" s="2372"/>
      <c r="C43" s="2372"/>
      <c r="D43" s="2372"/>
      <c r="E43" s="2372"/>
      <c r="F43" s="2373"/>
      <c r="H43" s="1764"/>
      <c r="I43" s="1764"/>
      <c r="J43" s="1764"/>
      <c r="K43" s="1764"/>
    </row>
    <row r="44" spans="1:11" s="1755" customFormat="1" ht="12" hidden="1" customHeight="1" x14ac:dyDescent="0.25">
      <c r="A44" s="2371"/>
      <c r="B44" s="2372"/>
      <c r="C44" s="2372"/>
      <c r="D44" s="2372"/>
      <c r="E44" s="2372"/>
      <c r="F44" s="2373"/>
      <c r="H44" s="1764"/>
      <c r="I44" s="1764"/>
      <c r="J44" s="1764"/>
      <c r="K44" s="1764"/>
    </row>
    <row r="45" spans="1:11" s="1755" customFormat="1" ht="12" customHeight="1" x14ac:dyDescent="0.25">
      <c r="H45" s="1764"/>
      <c r="I45" s="1764"/>
      <c r="J45" s="1764"/>
      <c r="K45" s="1764"/>
    </row>
    <row r="46" spans="1:11" s="1755" customFormat="1" ht="9.75" customHeight="1" x14ac:dyDescent="0.25">
      <c r="H46" s="1764"/>
      <c r="I46" s="1764"/>
      <c r="J46" s="1764"/>
      <c r="K46" s="1764"/>
    </row>
    <row r="47" spans="1:11" s="1755" customFormat="1" ht="13.5" customHeight="1" x14ac:dyDescent="0.25">
      <c r="H47" s="1764"/>
      <c r="I47" s="1764"/>
      <c r="J47" s="1764"/>
      <c r="K47" s="1764"/>
    </row>
    <row r="48" spans="1:11" s="1755" customFormat="1" ht="15" x14ac:dyDescent="0.25">
      <c r="H48" s="1764"/>
      <c r="I48" s="1764"/>
      <c r="J48" s="1764"/>
      <c r="K48" s="1764"/>
    </row>
    <row r="49" spans="1:11" s="1755" customFormat="1" ht="15" hidden="1" x14ac:dyDescent="0.25">
      <c r="A49" s="1755" t="b">
        <v>0</v>
      </c>
      <c r="H49" s="1764"/>
      <c r="I49" s="1764"/>
      <c r="J49" s="1764"/>
      <c r="K49" s="1764"/>
    </row>
    <row r="50" spans="1:11" s="1755" customFormat="1" ht="15" x14ac:dyDescent="0.25">
      <c r="H50" s="1764"/>
      <c r="I50" s="1764"/>
      <c r="J50" s="1764"/>
      <c r="K50" s="1764"/>
    </row>
    <row r="51" spans="1:11" s="1755" customFormat="1" ht="15" x14ac:dyDescent="0.25">
      <c r="H51" s="1764"/>
      <c r="I51" s="1764"/>
      <c r="J51" s="1764"/>
      <c r="K51" s="1764"/>
    </row>
    <row r="52" spans="1:11" s="1755" customFormat="1" ht="15" x14ac:dyDescent="0.25">
      <c r="H52" s="1764"/>
      <c r="I52" s="1764"/>
      <c r="J52" s="1764"/>
      <c r="K52" s="1764"/>
    </row>
    <row r="53" spans="1:11" s="1755" customFormat="1" ht="15" x14ac:dyDescent="0.25">
      <c r="H53" s="1764"/>
      <c r="I53" s="1764"/>
      <c r="J53" s="1764"/>
      <c r="K53" s="1764"/>
    </row>
    <row r="54" spans="1:11" s="1755" customFormat="1" ht="15" x14ac:dyDescent="0.25">
      <c r="H54" s="1764"/>
      <c r="I54" s="1764"/>
      <c r="J54" s="1764"/>
      <c r="K54" s="1764"/>
    </row>
    <row r="55" spans="1:11" s="1755" customFormat="1" ht="15" x14ac:dyDescent="0.25">
      <c r="H55" s="1764"/>
      <c r="I55" s="1764"/>
      <c r="J55" s="1764"/>
      <c r="K55" s="1764"/>
    </row>
    <row r="56" spans="1:11" s="1755" customFormat="1" ht="15" x14ac:dyDescent="0.25">
      <c r="H56" s="1764"/>
      <c r="I56" s="1764"/>
      <c r="J56" s="1764"/>
      <c r="K56" s="1764"/>
    </row>
    <row r="57" spans="1:11" s="1755" customFormat="1" ht="15" x14ac:dyDescent="0.25">
      <c r="H57" s="1764"/>
      <c r="I57" s="1764"/>
      <c r="J57" s="1764"/>
      <c r="K57" s="1764"/>
    </row>
    <row r="58" spans="1:11" s="1755" customFormat="1" ht="15" x14ac:dyDescent="0.25">
      <c r="H58" s="1764"/>
      <c r="I58" s="1764"/>
      <c r="J58" s="1764"/>
      <c r="K58" s="1764"/>
    </row>
    <row r="59" spans="1:11" s="1755" customFormat="1" ht="15" x14ac:dyDescent="0.25">
      <c r="H59" s="1764"/>
      <c r="I59" s="1764"/>
      <c r="J59" s="1764"/>
      <c r="K59" s="1764"/>
    </row>
    <row r="60" spans="1:11" s="1755" customFormat="1" ht="15" x14ac:dyDescent="0.25">
      <c r="H60" s="1764"/>
      <c r="I60" s="1764"/>
      <c r="J60" s="1764"/>
      <c r="K60" s="1764"/>
    </row>
    <row r="61" spans="1:11" s="1755" customFormat="1" ht="15" x14ac:dyDescent="0.25">
      <c r="H61" s="1764"/>
      <c r="I61" s="1764"/>
      <c r="J61" s="1764"/>
      <c r="K61" s="1764"/>
    </row>
    <row r="62" spans="1:11" s="1755" customFormat="1" ht="15" x14ac:dyDescent="0.25">
      <c r="H62" s="1764"/>
      <c r="I62" s="1764"/>
      <c r="J62" s="1764"/>
      <c r="K62" s="1764"/>
    </row>
    <row r="63" spans="1:11" s="1755" customFormat="1" ht="15" x14ac:dyDescent="0.25">
      <c r="H63" s="1764"/>
      <c r="I63" s="1764"/>
      <c r="J63" s="1764"/>
      <c r="K63" s="1764"/>
    </row>
    <row r="64" spans="1:11" s="1755" customFormat="1" ht="15" x14ac:dyDescent="0.25">
      <c r="H64" s="1764"/>
      <c r="I64" s="1764"/>
      <c r="J64" s="1764"/>
      <c r="K64" s="1764"/>
    </row>
    <row r="65" spans="8:11" s="1755" customFormat="1" ht="15" x14ac:dyDescent="0.25">
      <c r="H65" s="1764"/>
      <c r="I65" s="1764"/>
      <c r="J65" s="1764"/>
      <c r="K65" s="1764"/>
    </row>
    <row r="66" spans="8:11" s="1755" customFormat="1" ht="15" x14ac:dyDescent="0.25">
      <c r="H66" s="1764"/>
      <c r="I66" s="1764"/>
      <c r="J66" s="1764"/>
      <c r="K66" s="1764"/>
    </row>
    <row r="67" spans="8:11" s="1755" customFormat="1" ht="15" x14ac:dyDescent="0.25">
      <c r="H67" s="1764"/>
      <c r="I67" s="1764"/>
      <c r="J67" s="1764"/>
      <c r="K67" s="1764"/>
    </row>
    <row r="68" spans="8:11" s="1755" customFormat="1" ht="15" x14ac:dyDescent="0.25">
      <c r="H68" s="1764"/>
      <c r="I68" s="1764"/>
      <c r="J68" s="1764"/>
      <c r="K68" s="1764"/>
    </row>
    <row r="69" spans="8:11" s="1755" customFormat="1" ht="15" x14ac:dyDescent="0.25">
      <c r="H69" s="1764"/>
      <c r="I69" s="1764"/>
      <c r="J69" s="1764"/>
      <c r="K69" s="1764"/>
    </row>
    <row r="70" spans="8:11" s="1755" customFormat="1" ht="15" x14ac:dyDescent="0.25">
      <c r="H70" s="1764"/>
      <c r="I70" s="1764"/>
      <c r="J70" s="1764"/>
      <c r="K70" s="1764"/>
    </row>
    <row r="71" spans="8:11" s="1755" customFormat="1" ht="15" x14ac:dyDescent="0.25">
      <c r="H71" s="1764"/>
      <c r="I71" s="1764"/>
      <c r="J71" s="1764"/>
      <c r="K71" s="1764"/>
    </row>
    <row r="72" spans="8:11" s="1755" customFormat="1" ht="15" x14ac:dyDescent="0.25">
      <c r="H72" s="1764"/>
      <c r="I72" s="1764"/>
      <c r="J72" s="1764"/>
      <c r="K72" s="1764"/>
    </row>
    <row r="73" spans="8:11" s="1755" customFormat="1" ht="15" x14ac:dyDescent="0.25">
      <c r="H73" s="1764"/>
      <c r="I73" s="1764"/>
      <c r="J73" s="1764"/>
      <c r="K73" s="1764"/>
    </row>
    <row r="74" spans="8:11" s="1755" customFormat="1" ht="15" x14ac:dyDescent="0.25">
      <c r="H74" s="1764"/>
      <c r="I74" s="1764"/>
      <c r="J74" s="1764"/>
      <c r="K74" s="1764"/>
    </row>
    <row r="75" spans="8:11" s="1755" customFormat="1" ht="15" x14ac:dyDescent="0.25">
      <c r="H75" s="1764"/>
      <c r="I75" s="1764"/>
      <c r="J75" s="1764"/>
      <c r="K75" s="1764"/>
    </row>
    <row r="76" spans="8:11" s="1755" customFormat="1" ht="15" x14ac:dyDescent="0.25">
      <c r="H76" s="1764"/>
      <c r="I76" s="1764"/>
      <c r="J76" s="1764"/>
      <c r="K76" s="1764"/>
    </row>
    <row r="77" spans="8:11" s="1755" customFormat="1" ht="15" x14ac:dyDescent="0.25">
      <c r="H77" s="1764"/>
      <c r="I77" s="1764"/>
      <c r="J77" s="1764"/>
      <c r="K77" s="1764"/>
    </row>
    <row r="78" spans="8:11" s="1755" customFormat="1" ht="15" x14ac:dyDescent="0.25">
      <c r="H78" s="1764"/>
      <c r="I78" s="1764"/>
      <c r="J78" s="1764"/>
      <c r="K78" s="1764"/>
    </row>
    <row r="79" spans="8:11" s="1755" customFormat="1" ht="15" x14ac:dyDescent="0.25">
      <c r="H79" s="1764"/>
      <c r="I79" s="1764"/>
      <c r="J79" s="1764"/>
      <c r="K79" s="1764"/>
    </row>
    <row r="80" spans="8:11" s="1755" customFormat="1" ht="15" x14ac:dyDescent="0.25">
      <c r="H80" s="1764"/>
      <c r="I80" s="1764"/>
      <c r="J80" s="1764"/>
      <c r="K80" s="1764"/>
    </row>
    <row r="81" spans="8:11" s="1755" customFormat="1" ht="15" x14ac:dyDescent="0.25">
      <c r="H81" s="1764"/>
      <c r="I81" s="1764"/>
      <c r="J81" s="1764"/>
      <c r="K81" s="1764"/>
    </row>
    <row r="82" spans="8:11" s="1755" customFormat="1" ht="15" x14ac:dyDescent="0.25">
      <c r="H82" s="1764"/>
      <c r="I82" s="1764"/>
      <c r="J82" s="1764"/>
      <c r="K82" s="1764"/>
    </row>
    <row r="83" spans="8:11" s="1755" customFormat="1" ht="15" x14ac:dyDescent="0.25">
      <c r="H83" s="1764"/>
      <c r="I83" s="1764"/>
      <c r="J83" s="1764"/>
      <c r="K83" s="1764"/>
    </row>
    <row r="84" spans="8:11" s="1755" customFormat="1" ht="15" x14ac:dyDescent="0.25">
      <c r="H84" s="1764"/>
      <c r="I84" s="1764"/>
      <c r="J84" s="1764"/>
      <c r="K84" s="1764"/>
    </row>
    <row r="85" spans="8:11" s="1755" customFormat="1" ht="15" x14ac:dyDescent="0.25">
      <c r="H85" s="1764"/>
      <c r="I85" s="1764"/>
      <c r="J85" s="1764"/>
      <c r="K85" s="1764"/>
    </row>
    <row r="86" spans="8:11" s="1755" customFormat="1" ht="15" x14ac:dyDescent="0.25">
      <c r="H86" s="1764"/>
      <c r="I86" s="1764"/>
      <c r="J86" s="1764"/>
      <c r="K86" s="1764"/>
    </row>
    <row r="87" spans="8:11" s="1755" customFormat="1" ht="15" x14ac:dyDescent="0.25">
      <c r="H87" s="1764"/>
      <c r="I87" s="1764"/>
      <c r="J87" s="1764"/>
      <c r="K87" s="1764"/>
    </row>
    <row r="88" spans="8:11" s="1755" customFormat="1" ht="15" x14ac:dyDescent="0.25">
      <c r="H88" s="1764"/>
      <c r="I88" s="1764"/>
      <c r="J88" s="1764"/>
      <c r="K88" s="1764"/>
    </row>
    <row r="89" spans="8:11" s="1755" customFormat="1" ht="15" x14ac:dyDescent="0.25">
      <c r="H89" s="1764"/>
      <c r="I89" s="1764"/>
      <c r="J89" s="1764"/>
      <c r="K89" s="1764"/>
    </row>
    <row r="90" spans="8:11" s="1755" customFormat="1" ht="15" x14ac:dyDescent="0.25">
      <c r="H90" s="1764"/>
      <c r="I90" s="1764"/>
      <c r="J90" s="1764"/>
      <c r="K90" s="1764"/>
    </row>
    <row r="91" spans="8:11" s="1755" customFormat="1" ht="15" x14ac:dyDescent="0.25">
      <c r="H91" s="1764"/>
      <c r="I91" s="1764"/>
      <c r="J91" s="1764"/>
      <c r="K91" s="1764"/>
    </row>
    <row r="92" spans="8:11" s="1755" customFormat="1" ht="15" x14ac:dyDescent="0.25">
      <c r="H92" s="1764"/>
      <c r="I92" s="1764"/>
      <c r="J92" s="1764"/>
      <c r="K92" s="1764"/>
    </row>
    <row r="93" spans="8:11" s="1755" customFormat="1" ht="15" x14ac:dyDescent="0.25">
      <c r="H93" s="1764"/>
      <c r="I93" s="1764"/>
      <c r="J93" s="1764"/>
      <c r="K93" s="1764"/>
    </row>
    <row r="94" spans="8:11" s="1755" customFormat="1" ht="15" x14ac:dyDescent="0.25">
      <c r="H94" s="1764"/>
      <c r="I94" s="1764"/>
      <c r="J94" s="1764"/>
      <c r="K94" s="1764"/>
    </row>
    <row r="95" spans="8:11" s="1755" customFormat="1" ht="15" x14ac:dyDescent="0.25">
      <c r="H95" s="1764"/>
      <c r="I95" s="1764"/>
      <c r="J95" s="1764"/>
      <c r="K95" s="1764"/>
    </row>
    <row r="96" spans="8:11" s="1755" customFormat="1" ht="15" x14ac:dyDescent="0.25">
      <c r="H96" s="1764"/>
      <c r="I96" s="1764"/>
      <c r="J96" s="1764"/>
      <c r="K96" s="1764"/>
    </row>
    <row r="97" spans="8:11" s="1755" customFormat="1" ht="15" x14ac:dyDescent="0.25">
      <c r="H97" s="1764"/>
      <c r="I97" s="1764"/>
      <c r="J97" s="1764"/>
      <c r="K97" s="1764"/>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4"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Q40"/>
  <sheetViews>
    <sheetView showGridLines="0" defaultGridColor="0" colorId="8" zoomScale="81" zoomScaleNormal="81" workbookViewId="0">
      <selection activeCell="I46" sqref="I46"/>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79" t="s">
        <v>692</v>
      </c>
      <c r="B6" s="1557"/>
      <c r="C6" s="1557"/>
      <c r="D6" s="1557"/>
      <c r="E6" s="1558"/>
      <c r="F6" s="928"/>
      <c r="G6" s="922"/>
      <c r="H6" s="929" t="s">
        <v>1085</v>
      </c>
      <c r="I6" s="2387" t="str">
        <f>COVER!A17</f>
        <v>Champaign Community Unit School District 4</v>
      </c>
      <c r="J6" s="2388"/>
      <c r="Q6" s="1579"/>
    </row>
    <row r="7" spans="1:17" x14ac:dyDescent="0.2">
      <c r="A7" s="2389" t="s">
        <v>923</v>
      </c>
      <c r="B7" s="2390"/>
      <c r="C7" s="2390"/>
      <c r="D7" s="2390"/>
      <c r="E7" s="2391"/>
      <c r="F7" s="930"/>
      <c r="G7" s="922"/>
      <c r="H7" s="929" t="s">
        <v>389</v>
      </c>
      <c r="I7" s="2392">
        <f>COVER!A13</f>
        <v>9010004026</v>
      </c>
      <c r="J7" s="2392"/>
    </row>
    <row r="8" spans="1:17" ht="8.25" customHeight="1" x14ac:dyDescent="0.2">
      <c r="A8" s="1559"/>
      <c r="B8" s="1560"/>
      <c r="C8" s="1560"/>
      <c r="D8" s="1560"/>
      <c r="E8" s="1561"/>
      <c r="F8" s="931"/>
      <c r="G8" s="932"/>
      <c r="H8" s="932"/>
      <c r="I8" s="932"/>
      <c r="J8" s="932"/>
    </row>
    <row r="9" spans="1:17" ht="13.5" customHeight="1" x14ac:dyDescent="0.2">
      <c r="A9" s="933"/>
      <c r="B9" s="934"/>
      <c r="C9" s="934"/>
      <c r="D9" s="935"/>
      <c r="E9" s="1780" t="s">
        <v>1700</v>
      </c>
      <c r="F9" s="936"/>
      <c r="G9" s="936"/>
      <c r="H9" s="1781"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93" t="s">
        <v>501</v>
      </c>
      <c r="B11" s="2394"/>
      <c r="C11" s="2395"/>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702">
        <f>'Expenditures 15-22'!K50</f>
        <v>455641</v>
      </c>
      <c r="F12" s="952"/>
      <c r="G12" s="1702">
        <f t="shared" ref="G12:G18" si="0">SUM(E12:F12)</f>
        <v>455641</v>
      </c>
      <c r="H12" s="953">
        <v>367303</v>
      </c>
      <c r="I12" s="952"/>
      <c r="J12" s="1702">
        <f t="shared" ref="J12:J18" si="1">SUM(H12:I12)</f>
        <v>367303</v>
      </c>
    </row>
    <row r="13" spans="1:17" ht="15" customHeight="1" x14ac:dyDescent="0.2">
      <c r="A13" s="948">
        <v>2</v>
      </c>
      <c r="B13" s="949" t="s">
        <v>44</v>
      </c>
      <c r="C13" s="950"/>
      <c r="D13" s="951">
        <v>2330</v>
      </c>
      <c r="E13" s="1702">
        <f>'Expenditures 15-22'!K51</f>
        <v>175537</v>
      </c>
      <c r="F13" s="952"/>
      <c r="G13" s="1702">
        <f t="shared" si="0"/>
        <v>175537</v>
      </c>
      <c r="H13" s="953">
        <v>180760</v>
      </c>
      <c r="I13" s="952"/>
      <c r="J13" s="1702">
        <f t="shared" si="1"/>
        <v>180760</v>
      </c>
    </row>
    <row r="14" spans="1:17" ht="15" customHeight="1" x14ac:dyDescent="0.2">
      <c r="A14" s="948">
        <v>3</v>
      </c>
      <c r="B14" s="949" t="s">
        <v>45</v>
      </c>
      <c r="C14" s="950"/>
      <c r="D14" s="954">
        <v>2490</v>
      </c>
      <c r="E14" s="1702">
        <f>'Expenditures 15-22'!K56</f>
        <v>0</v>
      </c>
      <c r="F14" s="952"/>
      <c r="G14" s="1702">
        <f t="shared" si="0"/>
        <v>0</v>
      </c>
      <c r="H14" s="953"/>
      <c r="I14" s="952"/>
      <c r="J14" s="1702">
        <f t="shared" si="1"/>
        <v>0</v>
      </c>
    </row>
    <row r="15" spans="1:17" ht="15" customHeight="1" x14ac:dyDescent="0.2">
      <c r="A15" s="948">
        <v>4</v>
      </c>
      <c r="B15" s="949" t="s">
        <v>1127</v>
      </c>
      <c r="C15" s="950"/>
      <c r="D15" s="951">
        <v>2510</v>
      </c>
      <c r="E15" s="1702">
        <f>'Expenditures 15-22'!K59</f>
        <v>160942</v>
      </c>
      <c r="F15" s="1702">
        <f>'Expenditures 15-22'!K122</f>
        <v>0</v>
      </c>
      <c r="G15" s="1702">
        <f t="shared" si="0"/>
        <v>160942</v>
      </c>
      <c r="H15" s="953">
        <v>176243</v>
      </c>
      <c r="I15" s="953"/>
      <c r="J15" s="1702">
        <f t="shared" si="1"/>
        <v>176243</v>
      </c>
    </row>
    <row r="16" spans="1:17" ht="15" customHeight="1" x14ac:dyDescent="0.2">
      <c r="A16" s="948">
        <v>5</v>
      </c>
      <c r="B16" s="949" t="s">
        <v>103</v>
      </c>
      <c r="C16" s="950"/>
      <c r="D16" s="951">
        <v>2570</v>
      </c>
      <c r="E16" s="1702">
        <f>'Expenditures 15-22'!K64</f>
        <v>283964</v>
      </c>
      <c r="F16" s="952"/>
      <c r="G16" s="1702">
        <f t="shared" si="0"/>
        <v>283964</v>
      </c>
      <c r="H16" s="953">
        <v>289378</v>
      </c>
      <c r="I16" s="952"/>
      <c r="J16" s="1702">
        <f t="shared" si="1"/>
        <v>289378</v>
      </c>
    </row>
    <row r="17" spans="1:10" ht="15" customHeight="1" x14ac:dyDescent="0.2">
      <c r="A17" s="948">
        <v>6</v>
      </c>
      <c r="B17" s="949" t="s">
        <v>1119</v>
      </c>
      <c r="C17" s="950"/>
      <c r="D17" s="951">
        <v>2610</v>
      </c>
      <c r="E17" s="1702">
        <f>'Expenditures 15-22'!K67</f>
        <v>0</v>
      </c>
      <c r="F17" s="952"/>
      <c r="G17" s="1702">
        <f t="shared" si="0"/>
        <v>0</v>
      </c>
      <c r="H17" s="953"/>
      <c r="I17" s="952"/>
      <c r="J17" s="1702">
        <f t="shared" si="1"/>
        <v>0</v>
      </c>
    </row>
    <row r="18" spans="1:10" ht="22.5" customHeight="1" x14ac:dyDescent="0.2">
      <c r="A18" s="955">
        <v>7</v>
      </c>
      <c r="B18" s="2396" t="s">
        <v>7</v>
      </c>
      <c r="C18" s="2397"/>
      <c r="D18" s="2398"/>
      <c r="E18" s="956"/>
      <c r="F18" s="956"/>
      <c r="G18" s="1703">
        <f t="shared" si="0"/>
        <v>0</v>
      </c>
      <c r="H18" s="953"/>
      <c r="I18" s="953"/>
      <c r="J18" s="1702">
        <f t="shared" si="1"/>
        <v>0</v>
      </c>
    </row>
    <row r="19" spans="1:10" ht="12.75" customHeight="1" thickBot="1" x14ac:dyDescent="0.25">
      <c r="A19" s="948">
        <v>8</v>
      </c>
      <c r="B19" s="957" t="s">
        <v>1222</v>
      </c>
      <c r="D19" s="958"/>
      <c r="E19" s="1704">
        <f t="shared" ref="E19:J19" si="2">SUM(E12:E17)-E18</f>
        <v>1076084</v>
      </c>
      <c r="F19" s="1704">
        <f t="shared" si="2"/>
        <v>0</v>
      </c>
      <c r="G19" s="1704">
        <f t="shared" si="2"/>
        <v>1076084</v>
      </c>
      <c r="H19" s="1704">
        <f t="shared" si="2"/>
        <v>1013684</v>
      </c>
      <c r="I19" s="1704">
        <f t="shared" si="2"/>
        <v>0</v>
      </c>
      <c r="J19" s="1704">
        <f t="shared" si="2"/>
        <v>1013684</v>
      </c>
    </row>
    <row r="20" spans="1:10" ht="13.5" thickTop="1" x14ac:dyDescent="0.2">
      <c r="A20" s="948">
        <v>9</v>
      </c>
      <c r="B20" s="2399" t="s">
        <v>1702</v>
      </c>
      <c r="C20" s="2399"/>
      <c r="D20" s="2400"/>
      <c r="E20" s="959"/>
      <c r="F20" s="959"/>
      <c r="G20" s="959"/>
      <c r="H20" s="959"/>
      <c r="I20" s="959"/>
      <c r="J20" s="1705">
        <f>IF(AND(G19&gt;0,J19&gt;0),(((J19-G19)/G19)),"Enter Budget Data")</f>
        <v>-5.7988038108549148E-2</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405"/>
      <c r="D26" s="2405"/>
      <c r="E26" s="963"/>
      <c r="F26" s="2404"/>
      <c r="G26" s="2404"/>
    </row>
    <row r="27" spans="1:10" x14ac:dyDescent="0.2">
      <c r="B27" s="960"/>
      <c r="C27" s="964" t="s">
        <v>1092</v>
      </c>
      <c r="D27" s="965"/>
      <c r="E27" s="966"/>
      <c r="F27" s="2401" t="s">
        <v>1588</v>
      </c>
      <c r="G27" s="2401"/>
    </row>
    <row r="28" spans="1:10" ht="28.5" customHeight="1" x14ac:dyDescent="0.2">
      <c r="B28" s="960"/>
      <c r="C28" s="2403"/>
      <c r="D28" s="2403"/>
      <c r="E28" s="967"/>
      <c r="F28" s="2403"/>
      <c r="G28" s="2403"/>
    </row>
    <row r="29" spans="1:10" x14ac:dyDescent="0.2">
      <c r="B29" s="960"/>
      <c r="C29" s="968" t="s">
        <v>1641</v>
      </c>
      <c r="E29" s="969"/>
      <c r="F29" s="2402" t="s">
        <v>1589</v>
      </c>
      <c r="G29" s="2402"/>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84" t="s">
        <v>134</v>
      </c>
      <c r="D33" s="2385"/>
      <c r="E33" s="2385"/>
      <c r="F33" s="2385"/>
      <c r="G33" s="2385"/>
      <c r="H33" s="2385"/>
      <c r="I33" s="2385"/>
    </row>
    <row r="34" spans="1:10" ht="10.35" customHeight="1" x14ac:dyDescent="0.2">
      <c r="C34" s="2385"/>
      <c r="D34" s="2385"/>
      <c r="E34" s="2385"/>
      <c r="F34" s="2385"/>
      <c r="G34" s="2385"/>
      <c r="H34" s="2385"/>
      <c r="I34" s="2385"/>
    </row>
    <row r="35" spans="1:10" ht="7.5" customHeight="1" x14ac:dyDescent="0.2">
      <c r="C35" s="975"/>
    </row>
    <row r="36" spans="1:10" ht="13.5" customHeight="1" x14ac:dyDescent="0.2">
      <c r="B36" s="974"/>
      <c r="C36" s="2386" t="s">
        <v>1940</v>
      </c>
      <c r="D36" s="2385"/>
      <c r="E36" s="2385"/>
      <c r="F36" s="2385"/>
      <c r="G36" s="2385"/>
      <c r="H36" s="2385"/>
      <c r="I36" s="2385"/>
      <c r="J36" s="976"/>
    </row>
    <row r="37" spans="1:10" ht="22.5" customHeight="1" x14ac:dyDescent="0.2">
      <c r="C37" s="2385"/>
      <c r="D37" s="2385"/>
      <c r="E37" s="2385"/>
      <c r="F37" s="2385"/>
      <c r="G37" s="2385"/>
      <c r="H37" s="2385"/>
      <c r="I37" s="2385"/>
      <c r="J37" s="976"/>
    </row>
    <row r="38" spans="1:10" ht="7.5" customHeight="1" x14ac:dyDescent="0.2">
      <c r="C38" s="975"/>
      <c r="D38" s="977"/>
      <c r="E38" s="978"/>
      <c r="F38" s="979"/>
      <c r="G38" s="978"/>
    </row>
    <row r="39" spans="1:10" ht="13.5" customHeight="1" x14ac:dyDescent="0.2">
      <c r="B39" s="974"/>
      <c r="C39" s="2382" t="s">
        <v>936</v>
      </c>
      <c r="D39" s="2383"/>
      <c r="E39" s="2383"/>
      <c r="F39" s="2383"/>
      <c r="G39" s="2383"/>
      <c r="H39" s="2383"/>
      <c r="I39" s="2383"/>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FF0000"/>
  </sheetPr>
  <dimension ref="A2:C56"/>
  <sheetViews>
    <sheetView showGridLines="0" zoomScaleNormal="100" workbookViewId="0"/>
  </sheetViews>
  <sheetFormatPr defaultColWidth="9.140625" defaultRowHeight="12.75" x14ac:dyDescent="0.2"/>
  <cols>
    <col min="1" max="1" width="4.7109375" style="325" customWidth="1"/>
    <col min="2" max="2" width="72.85546875" style="325" customWidth="1"/>
    <col min="3" max="3" width="43.28515625" style="325" customWidth="1"/>
    <col min="4" max="16384" width="9.140625" style="325"/>
  </cols>
  <sheetData>
    <row r="2" spans="1:3" x14ac:dyDescent="0.2">
      <c r="A2" s="385" t="s">
        <v>276</v>
      </c>
    </row>
    <row r="3" spans="1:3" x14ac:dyDescent="0.2">
      <c r="A3" s="325" t="s">
        <v>277</v>
      </c>
    </row>
    <row r="5" spans="1:3" x14ac:dyDescent="0.2">
      <c r="A5" s="2004">
        <v>1</v>
      </c>
      <c r="B5" s="2000" t="s">
        <v>2217</v>
      </c>
      <c r="C5" s="2000" t="s">
        <v>2218</v>
      </c>
    </row>
    <row r="6" spans="1:3" x14ac:dyDescent="0.2">
      <c r="A6" s="2004">
        <v>2</v>
      </c>
      <c r="B6" s="2000" t="s">
        <v>2219</v>
      </c>
      <c r="C6" s="2000" t="s">
        <v>2220</v>
      </c>
    </row>
    <row r="7" spans="1:3" x14ac:dyDescent="0.2">
      <c r="A7" s="2004">
        <v>3</v>
      </c>
      <c r="B7" s="2000" t="s">
        <v>2221</v>
      </c>
      <c r="C7" s="2000" t="s">
        <v>2222</v>
      </c>
    </row>
    <row r="8" spans="1:3" x14ac:dyDescent="0.2">
      <c r="A8" s="2004">
        <v>4</v>
      </c>
      <c r="B8" s="2000" t="s">
        <v>2223</v>
      </c>
      <c r="C8" s="2000" t="s">
        <v>2224</v>
      </c>
    </row>
    <row r="9" spans="1:3" x14ac:dyDescent="0.2">
      <c r="A9" s="2004">
        <v>5</v>
      </c>
      <c r="B9" s="2000" t="s">
        <v>2225</v>
      </c>
      <c r="C9" s="2000" t="s">
        <v>2226</v>
      </c>
    </row>
    <row r="10" spans="1:3" x14ac:dyDescent="0.2">
      <c r="A10" s="2004">
        <v>6</v>
      </c>
      <c r="B10" s="2000" t="s">
        <v>2227</v>
      </c>
      <c r="C10" s="2000" t="s">
        <v>2228</v>
      </c>
    </row>
    <row r="11" spans="1:3" x14ac:dyDescent="0.2">
      <c r="A11" s="2004">
        <v>7</v>
      </c>
      <c r="B11" s="2000" t="s">
        <v>2229</v>
      </c>
      <c r="C11" s="2000" t="s">
        <v>2230</v>
      </c>
    </row>
    <row r="12" spans="1:3" x14ac:dyDescent="0.2">
      <c r="A12" s="2004">
        <v>8</v>
      </c>
      <c r="B12" s="2000" t="s">
        <v>2231</v>
      </c>
      <c r="C12" s="2000" t="s">
        <v>2232</v>
      </c>
    </row>
    <row r="13" spans="1:3" x14ac:dyDescent="0.2">
      <c r="A13" s="2004">
        <v>9</v>
      </c>
      <c r="B13" s="2005" t="s">
        <v>2240</v>
      </c>
      <c r="C13" s="2000" t="s">
        <v>2241</v>
      </c>
    </row>
    <row r="14" spans="1:3" x14ac:dyDescent="0.2">
      <c r="A14" s="2004">
        <v>10</v>
      </c>
      <c r="B14" s="2000" t="s">
        <v>2235</v>
      </c>
      <c r="C14" s="2000" t="s">
        <v>2233</v>
      </c>
    </row>
    <row r="15" spans="1:3" x14ac:dyDescent="0.2">
      <c r="A15" s="2002">
        <v>11</v>
      </c>
      <c r="B15" s="2000" t="s">
        <v>2236</v>
      </c>
      <c r="C15" s="1" t="s">
        <v>2262</v>
      </c>
    </row>
    <row r="16" spans="1:3" ht="25.5" x14ac:dyDescent="0.2">
      <c r="A16" s="2004">
        <v>12</v>
      </c>
      <c r="B16" s="2001" t="s">
        <v>2237</v>
      </c>
      <c r="C16" s="2003" t="s">
        <v>2234</v>
      </c>
    </row>
    <row r="17" spans="1:3" ht="25.5" x14ac:dyDescent="0.2">
      <c r="A17" s="2002">
        <v>13</v>
      </c>
      <c r="B17" s="2000" t="s">
        <v>2237</v>
      </c>
      <c r="C17" s="2009" t="s">
        <v>2261</v>
      </c>
    </row>
    <row r="18" spans="1:3" ht="59.45" customHeight="1" x14ac:dyDescent="0.2">
      <c r="A18" s="1999"/>
      <c r="B18" s="1997"/>
      <c r="C18" s="1998"/>
    </row>
    <row r="19" spans="1:3" x14ac:dyDescent="0.2">
      <c r="A19" s="1996"/>
      <c r="B19" s="1995"/>
      <c r="C19" s="1998"/>
    </row>
    <row r="20" spans="1:3" x14ac:dyDescent="0.2">
      <c r="A20" s="981"/>
    </row>
    <row r="21" spans="1:3" x14ac:dyDescent="0.2">
      <c r="A21" s="981"/>
    </row>
    <row r="22" spans="1:3" x14ac:dyDescent="0.2">
      <c r="A22" s="981"/>
    </row>
    <row r="23" spans="1:3" x14ac:dyDescent="0.2">
      <c r="A23" s="981"/>
    </row>
    <row r="24" spans="1:3" x14ac:dyDescent="0.2">
      <c r="A24" s="981"/>
    </row>
    <row r="25" spans="1:3" x14ac:dyDescent="0.2">
      <c r="A25" s="981"/>
    </row>
    <row r="26" spans="1:3" x14ac:dyDescent="0.2">
      <c r="A26" s="981"/>
    </row>
    <row r="27" spans="1:3" x14ac:dyDescent="0.2">
      <c r="A27" s="981"/>
    </row>
    <row r="28" spans="1:3" x14ac:dyDescent="0.2">
      <c r="A28" s="981"/>
    </row>
    <row r="29" spans="1:3" x14ac:dyDescent="0.2">
      <c r="A29" s="981"/>
    </row>
    <row r="30" spans="1:3" x14ac:dyDescent="0.2">
      <c r="A30" s="981"/>
    </row>
    <row r="31" spans="1:3" x14ac:dyDescent="0.2">
      <c r="A31" s="981"/>
    </row>
    <row r="32" spans="1:3" x14ac:dyDescent="0.2">
      <c r="A32" s="981"/>
    </row>
    <row r="33" spans="1:1" x14ac:dyDescent="0.2">
      <c r="A33" s="981"/>
    </row>
    <row r="34" spans="1:1" x14ac:dyDescent="0.2">
      <c r="A34" s="981"/>
    </row>
    <row r="35" spans="1:1" x14ac:dyDescent="0.2">
      <c r="A35" s="981"/>
    </row>
    <row r="36" spans="1:1" x14ac:dyDescent="0.2">
      <c r="A36" s="981"/>
    </row>
    <row r="37" spans="1:1" x14ac:dyDescent="0.2">
      <c r="A37" s="981"/>
    </row>
    <row r="38" spans="1:1" x14ac:dyDescent="0.2">
      <c r="A38" s="981"/>
    </row>
    <row r="39" spans="1:1" x14ac:dyDescent="0.2">
      <c r="A39" s="981"/>
    </row>
    <row r="40" spans="1:1" x14ac:dyDescent="0.2">
      <c r="A40" s="981"/>
    </row>
    <row r="41" spans="1:1" x14ac:dyDescent="0.2">
      <c r="A41" s="981"/>
    </row>
    <row r="42" spans="1:1" x14ac:dyDescent="0.2">
      <c r="A42" s="981"/>
    </row>
    <row r="43" spans="1:1" x14ac:dyDescent="0.2">
      <c r="A43" s="981"/>
    </row>
    <row r="44" spans="1:1" x14ac:dyDescent="0.2">
      <c r="A44" s="981"/>
    </row>
    <row r="45" spans="1:1" x14ac:dyDescent="0.2">
      <c r="A45" s="981"/>
    </row>
    <row r="46" spans="1:1" x14ac:dyDescent="0.2">
      <c r="A46" s="981"/>
    </row>
    <row r="47" spans="1:1" x14ac:dyDescent="0.2">
      <c r="A47" s="981"/>
    </row>
    <row r="48" spans="1:1" x14ac:dyDescent="0.2">
      <c r="A48" s="981"/>
    </row>
    <row r="49" spans="1:2" x14ac:dyDescent="0.2">
      <c r="A49" s="981"/>
    </row>
    <row r="50" spans="1:2" x14ac:dyDescent="0.2">
      <c r="A50" s="981"/>
    </row>
    <row r="51" spans="1:2" x14ac:dyDescent="0.2">
      <c r="A51" s="981"/>
    </row>
    <row r="52" spans="1:2" x14ac:dyDescent="0.2">
      <c r="A52" s="981"/>
    </row>
    <row r="53" spans="1:2" x14ac:dyDescent="0.2">
      <c r="A53" s="981"/>
    </row>
    <row r="54" spans="1:2" x14ac:dyDescent="0.2">
      <c r="A54" s="981"/>
    </row>
    <row r="55" spans="1:2" x14ac:dyDescent="0.2">
      <c r="A55" s="981"/>
      <c r="B55" s="254" t="str">
        <f>COVER!A17</f>
        <v>Champaign Community Unit School District 4</v>
      </c>
    </row>
    <row r="56" spans="1:2" x14ac:dyDescent="0.2">
      <c r="B56" s="982">
        <f>COVER!A13</f>
        <v>9010004026</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rgb="FFFF0000"/>
  </sheetPr>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9" sqref="B9"/>
    </sheetView>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3"/>
      <c r="C11" s="983"/>
      <c r="D11" s="983"/>
      <c r="E11" s="983"/>
      <c r="F11" s="983"/>
    </row>
    <row r="13" spans="1:6" x14ac:dyDescent="0.2">
      <c r="A13" s="984" t="s">
        <v>1572</v>
      </c>
    </row>
    <row r="15" spans="1:6" x14ac:dyDescent="0.2">
      <c r="A15" s="385" t="s">
        <v>911</v>
      </c>
    </row>
    <row r="16" spans="1:6" s="983" customFormat="1" ht="45" customHeight="1" x14ac:dyDescent="0.2">
      <c r="A16" s="985"/>
      <c r="B16" s="985" t="s">
        <v>1782</v>
      </c>
    </row>
    <row r="17" spans="1:2" ht="6" customHeight="1" x14ac:dyDescent="0.2"/>
    <row r="18" spans="1:2" ht="24.75" customHeight="1" x14ac:dyDescent="0.2">
      <c r="A18" s="2406" t="s">
        <v>1783</v>
      </c>
      <c r="B18" s="2406"/>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6865" r:id="rId4">
          <objectPr defaultSize="0" r:id="rId5">
            <anchor moveWithCells="1">
              <from>
                <xdr:col>0</xdr:col>
                <xdr:colOff>0</xdr:colOff>
                <xdr:row>0</xdr:row>
                <xdr:rowOff>0</xdr:rowOff>
              </from>
              <to>
                <xdr:col>1</xdr:col>
                <xdr:colOff>781050</xdr:colOff>
                <xdr:row>3</xdr:row>
                <xdr:rowOff>161925</xdr:rowOff>
              </to>
            </anchor>
          </objectPr>
        </oleObject>
      </mc:Choice>
      <mc:Fallback>
        <oleObject progId="Acrobat Document" dvAspect="DVASPECT_ICON" shapeId="36865" r:id="rId4"/>
      </mc:Fallback>
    </mc:AlternateContent>
    <mc:AlternateContent xmlns:mc="http://schemas.openxmlformats.org/markup-compatibility/2006">
      <mc:Choice Requires="x14">
        <oleObject progId="Acrobat Document" dvAspect="DVASPECT_ICON" shapeId="36866" r:id="rId6">
          <objectPr defaultSize="0" r:id="rId7">
            <anchor moveWithCells="1">
              <from>
                <xdr:col>1</xdr:col>
                <xdr:colOff>819150</xdr:colOff>
                <xdr:row>0</xdr:row>
                <xdr:rowOff>9525</xdr:rowOff>
              </from>
              <to>
                <xdr:col>1</xdr:col>
                <xdr:colOff>1733550</xdr:colOff>
                <xdr:row>3</xdr:row>
                <xdr:rowOff>171450</xdr:rowOff>
              </to>
            </anchor>
          </objectPr>
        </oleObject>
      </mc:Choice>
      <mc:Fallback>
        <oleObject progId="Acrobat Document" dvAspect="DVASPECT_ICON" shapeId="36866" r:id="rId6"/>
      </mc:Fallback>
    </mc:AlternateContent>
    <mc:AlternateContent xmlns:mc="http://schemas.openxmlformats.org/markup-compatibility/2006">
      <mc:Choice Requires="x14">
        <oleObject progId="Acrobat Document" dvAspect="DVASPECT_ICON" shapeId="36868" r:id="rId8">
          <objectPr defaultSize="0" r:id="rId9">
            <anchor moveWithCells="1">
              <from>
                <xdr:col>0</xdr:col>
                <xdr:colOff>28575</xdr:colOff>
                <xdr:row>4</xdr:row>
                <xdr:rowOff>38100</xdr:rowOff>
              </from>
              <to>
                <xdr:col>1</xdr:col>
                <xdr:colOff>819150</xdr:colOff>
                <xdr:row>8</xdr:row>
                <xdr:rowOff>19050</xdr:rowOff>
              </to>
            </anchor>
          </objectPr>
        </oleObject>
      </mc:Choice>
      <mc:Fallback>
        <oleObject progId="Acrobat Document" dvAspect="DVASPECT_ICON" shapeId="36868" r:id="rId8"/>
      </mc:Fallback>
    </mc:AlternateContent>
    <mc:AlternateContent xmlns:mc="http://schemas.openxmlformats.org/markup-compatibility/2006">
      <mc:Choice Requires="x14">
        <oleObject progId="Acrobat Document" dvAspect="DVASPECT_ICON" shapeId="36869" r:id="rId10">
          <objectPr defaultSize="0" r:id="rId11">
            <anchor moveWithCells="1">
              <from>
                <xdr:col>1</xdr:col>
                <xdr:colOff>1809750</xdr:colOff>
                <xdr:row>0</xdr:row>
                <xdr:rowOff>38100</xdr:rowOff>
              </from>
              <to>
                <xdr:col>1</xdr:col>
                <xdr:colOff>2724150</xdr:colOff>
                <xdr:row>4</xdr:row>
                <xdr:rowOff>28575</xdr:rowOff>
              </to>
            </anchor>
          </objectPr>
        </oleObject>
      </mc:Choice>
      <mc:Fallback>
        <oleObject progId="Acrobat Document" dvAspect="DVASPECT_ICON" shapeId="36869" r:id="rId10"/>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tabColor rgb="FFFF0000"/>
    <pageSetUpPr fitToPage="1"/>
  </sheetPr>
  <dimension ref="A1:H48"/>
  <sheetViews>
    <sheetView showGridLines="0" showZeros="0" topLeftCell="A4" zoomScale="110" zoomScaleNormal="110" workbookViewId="0">
      <selection sqref="A1:F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407" t="s">
        <v>1789</v>
      </c>
      <c r="B1" s="2408"/>
      <c r="C1" s="2408"/>
      <c r="D1" s="2408"/>
      <c r="E1" s="2408"/>
      <c r="F1" s="2409"/>
    </row>
    <row r="2" spans="1:8" ht="45" customHeight="1" x14ac:dyDescent="0.2">
      <c r="A2" s="2417" t="s">
        <v>1790</v>
      </c>
      <c r="B2" s="2418"/>
      <c r="C2" s="2418"/>
      <c r="D2" s="2418"/>
      <c r="E2" s="2418"/>
      <c r="F2" s="2419"/>
      <c r="G2" s="986"/>
      <c r="H2" s="986"/>
    </row>
    <row r="3" spans="1:8" ht="57" customHeight="1" x14ac:dyDescent="0.2">
      <c r="A3" s="2420" t="s">
        <v>1785</v>
      </c>
      <c r="B3" s="2421"/>
      <c r="C3" s="2421"/>
      <c r="D3" s="2421"/>
      <c r="E3" s="2421"/>
      <c r="F3" s="2422"/>
      <c r="G3" s="986"/>
      <c r="H3" s="986"/>
    </row>
    <row r="4" spans="1:8" ht="14.25" customHeight="1" x14ac:dyDescent="0.2">
      <c r="A4" s="2426" t="s">
        <v>2052</v>
      </c>
      <c r="B4" s="2427"/>
      <c r="C4" s="2427"/>
      <c r="D4" s="2427"/>
      <c r="E4" s="2427"/>
      <c r="F4" s="2428"/>
      <c r="G4" s="986"/>
      <c r="H4" s="986"/>
    </row>
    <row r="5" spans="1:8" ht="14.25" customHeight="1" x14ac:dyDescent="0.2">
      <c r="A5" s="2429" t="s">
        <v>2053</v>
      </c>
      <c r="B5" s="2430"/>
      <c r="C5" s="2430"/>
      <c r="D5" s="2430"/>
      <c r="E5" s="2430"/>
      <c r="F5" s="2431"/>
      <c r="G5" s="986"/>
      <c r="H5" s="986"/>
    </row>
    <row r="6" spans="1:8" s="987" customFormat="1" ht="41.25" customHeight="1" x14ac:dyDescent="0.2">
      <c r="A6" s="2423" t="s">
        <v>1791</v>
      </c>
      <c r="B6" s="2424"/>
      <c r="C6" s="2424"/>
      <c r="D6" s="2424"/>
      <c r="E6" s="2424"/>
      <c r="F6" s="2425"/>
    </row>
    <row r="7" spans="1:8" ht="42" customHeight="1" x14ac:dyDescent="0.2">
      <c r="A7" s="988" t="s">
        <v>501</v>
      </c>
      <c r="B7" s="989" t="s">
        <v>1575</v>
      </c>
      <c r="C7" s="989" t="s">
        <v>1576</v>
      </c>
      <c r="D7" s="989" t="s">
        <v>1574</v>
      </c>
      <c r="E7" s="989" t="s">
        <v>1577</v>
      </c>
      <c r="F7" s="989" t="s">
        <v>1433</v>
      </c>
    </row>
    <row r="8" spans="1:8" s="991" customFormat="1" ht="14.25" customHeight="1" x14ac:dyDescent="0.2">
      <c r="A8" s="990" t="s">
        <v>1434</v>
      </c>
      <c r="B8" s="1706">
        <f>'Acct Summary 7-8'!C8</f>
        <v>109197136</v>
      </c>
      <c r="C8" s="1706">
        <f>'Acct Summary 7-8'!D8</f>
        <v>9904147</v>
      </c>
      <c r="D8" s="1706">
        <f>'Acct Summary 7-8'!F8</f>
        <v>7645401</v>
      </c>
      <c r="E8" s="1706">
        <f>'Acct Summary 7-8'!I8</f>
        <v>135160</v>
      </c>
      <c r="F8" s="1706">
        <f>SUM(B8:E8)</f>
        <v>126881844</v>
      </c>
    </row>
    <row r="9" spans="1:8" s="991" customFormat="1" ht="14.25" customHeight="1" thickBot="1" x14ac:dyDescent="0.25">
      <c r="A9" s="990" t="s">
        <v>1435</v>
      </c>
      <c r="B9" s="1707">
        <f>'Acct Summary 7-8'!C17</f>
        <v>107630769</v>
      </c>
      <c r="C9" s="1707">
        <f>'Acct Summary 7-8'!D17</f>
        <v>13622382</v>
      </c>
      <c r="D9" s="1707">
        <f>'Acct Summary 7-8'!F17</f>
        <v>7190635</v>
      </c>
      <c r="E9" s="1706"/>
      <c r="F9" s="1706">
        <f>SUM(B9:E9)</f>
        <v>128443786</v>
      </c>
    </row>
    <row r="10" spans="1:8" s="991" customFormat="1" ht="14.25" thickTop="1" thickBot="1" x14ac:dyDescent="0.25">
      <c r="A10" s="992" t="s">
        <v>1436</v>
      </c>
      <c r="B10" s="1708">
        <f>(B8-B9)</f>
        <v>1566367</v>
      </c>
      <c r="C10" s="1708">
        <f>(C8-C9)</f>
        <v>-3718235</v>
      </c>
      <c r="D10" s="1708">
        <f>(D8-D9)</f>
        <v>454766</v>
      </c>
      <c r="E10" s="1707">
        <f>(E8-E9)</f>
        <v>135160</v>
      </c>
      <c r="F10" s="1709">
        <f>SUM(F8-F9)</f>
        <v>-1561942</v>
      </c>
    </row>
    <row r="11" spans="1:8" s="991" customFormat="1" ht="14.25" thickTop="1" thickBot="1" x14ac:dyDescent="0.25">
      <c r="A11" s="993" t="s">
        <v>1784</v>
      </c>
      <c r="B11" s="1710">
        <f>'Acct Summary 7-8'!C81</f>
        <v>54209050</v>
      </c>
      <c r="C11" s="1710">
        <f>'Acct Summary 7-8'!D81</f>
        <v>3764269</v>
      </c>
      <c r="D11" s="1710">
        <f>'Acct Summary 7-8'!F81</f>
        <v>753518</v>
      </c>
      <c r="E11" s="1710">
        <f>'Acct Summary 7-8'!I81</f>
        <v>12668655</v>
      </c>
      <c r="F11" s="1711">
        <f>SUM(B11:E11)</f>
        <v>71395492</v>
      </c>
    </row>
    <row r="12" spans="1:8" ht="16.5" customHeight="1" thickTop="1" x14ac:dyDescent="0.2">
      <c r="A12" s="994"/>
      <c r="B12" s="995"/>
      <c r="C12" s="2411" t="str">
        <f>IF(AND(F10&lt;0,F11&gt;=0,ABS(F10*3)&gt;ABS(F11)),A16,IF(AND(F10&lt;0,F11&gt;0,ABS(F10*3)&lt;=ABS(F11)),A17,IF(AND(F10&lt;0,F11&lt;0),A16,IF(F11=0,A19,A18))))</f>
        <v>Unbalanced -  however, a deficit reduction plan is not required at this time.</v>
      </c>
      <c r="D12" s="2412"/>
      <c r="E12" s="2412"/>
      <c r="F12" s="2413"/>
    </row>
    <row r="13" spans="1:8" ht="19.5" customHeight="1" x14ac:dyDescent="0.2">
      <c r="A13" s="996"/>
      <c r="B13" s="997"/>
      <c r="C13" s="2411"/>
      <c r="D13" s="2412"/>
      <c r="E13" s="2412"/>
      <c r="F13" s="2413"/>
      <c r="H13" s="986"/>
    </row>
    <row r="14" spans="1:8" ht="19.5" customHeight="1" x14ac:dyDescent="0.2">
      <c r="A14" s="996"/>
      <c r="B14" s="997"/>
      <c r="C14" s="2411"/>
      <c r="D14" s="2412"/>
      <c r="E14" s="2412"/>
      <c r="F14" s="2413"/>
      <c r="H14" s="986"/>
    </row>
    <row r="15" spans="1:8" ht="17.25" customHeight="1" x14ac:dyDescent="0.2">
      <c r="A15" s="996"/>
      <c r="B15" s="997"/>
      <c r="C15" s="2414"/>
      <c r="D15" s="2415"/>
      <c r="E15" s="2415"/>
      <c r="F15" s="2416"/>
      <c r="H15" s="986"/>
    </row>
    <row r="16" spans="1:8" s="306" customFormat="1" ht="51.75" hidden="1" customHeight="1" x14ac:dyDescent="0.2">
      <c r="A16" s="2410" t="s">
        <v>1786</v>
      </c>
      <c r="B16" s="2410"/>
      <c r="C16" s="2410"/>
      <c r="D16" s="2410"/>
      <c r="E16" s="2410"/>
      <c r="F16" s="306" t="s">
        <v>1437</v>
      </c>
    </row>
    <row r="17" spans="1:6" hidden="1" x14ac:dyDescent="0.2">
      <c r="A17" s="312" t="s">
        <v>1787</v>
      </c>
      <c r="F17" s="998"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999"/>
    </row>
    <row r="48" spans="3:3" x14ac:dyDescent="0.2">
      <c r="C48" s="998"/>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56" colorId="8" zoomScale="110" zoomScaleNormal="110" workbookViewId="0"/>
  </sheetViews>
  <sheetFormatPr defaultColWidth="9.140625" defaultRowHeight="12" x14ac:dyDescent="0.2"/>
  <cols>
    <col min="1" max="1" width="2.7109375" style="1045" customWidth="1"/>
    <col min="2" max="2" width="3.140625" style="1045" customWidth="1"/>
    <col min="3" max="3" width="96.140625" style="985" customWidth="1"/>
    <col min="4" max="4" width="42.140625" style="238" customWidth="1"/>
    <col min="5" max="5" width="2.7109375" style="1004" customWidth="1"/>
    <col min="6" max="6" width="1" style="1004" customWidth="1"/>
    <col min="7" max="16384" width="9.140625" style="1004"/>
  </cols>
  <sheetData>
    <row r="1" spans="1:4" ht="4.5" customHeight="1" thickBot="1" x14ac:dyDescent="0.25">
      <c r="A1" s="1000"/>
      <c r="B1" s="1001"/>
      <c r="C1" s="1002"/>
      <c r="D1" s="1003"/>
    </row>
    <row r="2" spans="1:4" ht="7.5" customHeight="1" thickTop="1" x14ac:dyDescent="0.2">
      <c r="A2" s="1782"/>
      <c r="B2" s="1783"/>
      <c r="C2" s="1784"/>
      <c r="D2" s="1785"/>
    </row>
    <row r="3" spans="1:4" ht="36" customHeight="1" x14ac:dyDescent="0.2">
      <c r="A3" s="2432" t="s">
        <v>685</v>
      </c>
      <c r="B3" s="2433"/>
      <c r="C3" s="2433"/>
      <c r="D3" s="2434"/>
    </row>
    <row r="4" spans="1:4" x14ac:dyDescent="0.2">
      <c r="A4" s="1064" t="s">
        <v>1792</v>
      </c>
      <c r="B4" s="1065"/>
      <c r="C4" s="1066"/>
      <c r="D4" s="1067"/>
    </row>
    <row r="5" spans="1:4" ht="21" customHeight="1" x14ac:dyDescent="0.2">
      <c r="A5" s="1060"/>
      <c r="B5" s="1061">
        <v>1</v>
      </c>
      <c r="C5" s="1062" t="s">
        <v>1942</v>
      </c>
      <c r="D5" s="1063"/>
    </row>
    <row r="6" spans="1:4" s="590" customFormat="1" ht="14.25" customHeight="1" x14ac:dyDescent="0.2">
      <c r="A6" s="1050"/>
      <c r="B6" s="1005">
        <f t="shared" ref="B6:B13" si="0">B5+1</f>
        <v>2</v>
      </c>
      <c r="C6" s="1006" t="s">
        <v>918</v>
      </c>
      <c r="D6" s="1007"/>
    </row>
    <row r="7" spans="1:4" s="590" customFormat="1" ht="12.75" x14ac:dyDescent="0.2">
      <c r="A7" s="1050"/>
      <c r="B7" s="1005">
        <f t="shared" si="0"/>
        <v>3</v>
      </c>
      <c r="C7" s="2443" t="s">
        <v>1583</v>
      </c>
      <c r="D7" s="2444"/>
    </row>
    <row r="8" spans="1:4" s="590" customFormat="1" ht="12.75" x14ac:dyDescent="0.2">
      <c r="A8" s="1050"/>
      <c r="B8" s="1005"/>
      <c r="C8" s="1008" t="s">
        <v>1582</v>
      </c>
      <c r="D8" s="1009"/>
    </row>
    <row r="9" spans="1:4" s="590" customFormat="1" ht="14.25" customHeight="1" x14ac:dyDescent="0.2">
      <c r="A9" s="1050"/>
      <c r="B9" s="1005">
        <f>B7+1</f>
        <v>4</v>
      </c>
      <c r="C9" s="1006" t="s">
        <v>2045</v>
      </c>
      <c r="D9" s="1007"/>
    </row>
    <row r="10" spans="1:4" s="590" customFormat="1" ht="14.25" customHeight="1" x14ac:dyDescent="0.2">
      <c r="A10" s="1050"/>
      <c r="B10" s="1005">
        <f t="shared" si="0"/>
        <v>5</v>
      </c>
      <c r="C10" s="1006" t="s">
        <v>659</v>
      </c>
      <c r="D10" s="1007"/>
    </row>
    <row r="11" spans="1:4" s="590" customFormat="1" ht="14.25" customHeight="1" x14ac:dyDescent="0.2">
      <c r="A11" s="1050"/>
      <c r="B11" s="1005">
        <f t="shared" si="0"/>
        <v>6</v>
      </c>
      <c r="C11" s="1006" t="s">
        <v>810</v>
      </c>
      <c r="D11" s="1007"/>
    </row>
    <row r="12" spans="1:4" s="590" customFormat="1" ht="14.25" customHeight="1" x14ac:dyDescent="0.2">
      <c r="A12" s="1050"/>
      <c r="B12" s="1005">
        <f t="shared" si="0"/>
        <v>7</v>
      </c>
      <c r="C12" s="1006" t="s">
        <v>1121</v>
      </c>
      <c r="D12" s="1007"/>
    </row>
    <row r="13" spans="1:4" s="590" customFormat="1" ht="14.25" customHeight="1" x14ac:dyDescent="0.2">
      <c r="A13" s="1050"/>
      <c r="B13" s="1005">
        <f t="shared" si="0"/>
        <v>8</v>
      </c>
      <c r="C13" s="1046" t="s">
        <v>811</v>
      </c>
      <c r="D13" s="1007"/>
    </row>
    <row r="14" spans="1:4" s="590" customFormat="1" ht="14.25" customHeight="1" x14ac:dyDescent="0.2">
      <c r="A14" s="1050"/>
      <c r="B14" s="1047">
        <v>9</v>
      </c>
      <c r="C14" s="1048" t="s">
        <v>1584</v>
      </c>
      <c r="D14" s="1049"/>
    </row>
    <row r="15" spans="1:4" s="590" customFormat="1" ht="21.75" customHeight="1" x14ac:dyDescent="0.2">
      <c r="A15" s="2435" t="s">
        <v>1064</v>
      </c>
      <c r="B15" s="2436"/>
      <c r="C15" s="2436"/>
      <c r="D15" s="2437"/>
    </row>
    <row r="16" spans="1:4" s="590" customFormat="1" ht="24" customHeight="1" x14ac:dyDescent="0.2">
      <c r="A16" s="2438" t="s">
        <v>683</v>
      </c>
      <c r="B16" s="2439"/>
      <c r="C16" s="2439"/>
      <c r="D16" s="2440"/>
    </row>
    <row r="17" spans="1:10" s="590" customFormat="1" ht="12.75" customHeight="1" x14ac:dyDescent="0.2">
      <c r="A17" s="1068" t="s">
        <v>1793</v>
      </c>
      <c r="B17" s="1069"/>
      <c r="C17" s="1070"/>
      <c r="D17" s="1071"/>
    </row>
    <row r="18" spans="1:10" s="590" customFormat="1" ht="12.75" customHeight="1" x14ac:dyDescent="0.2">
      <c r="A18" s="1072" t="s">
        <v>1794</v>
      </c>
      <c r="B18" s="1073"/>
      <c r="C18" s="1074"/>
      <c r="D18" s="1075"/>
    </row>
    <row r="19" spans="1:10" ht="6.75" customHeight="1" thickBot="1" x14ac:dyDescent="0.25">
      <c r="A19" s="1076"/>
      <c r="B19" s="1077"/>
      <c r="C19" s="1078"/>
      <c r="D19" s="1079"/>
    </row>
    <row r="20" spans="1:10" s="1083" customFormat="1" ht="12.75" thickTop="1" x14ac:dyDescent="0.2">
      <c r="A20" s="1080"/>
      <c r="B20" s="1081" t="s">
        <v>1795</v>
      </c>
      <c r="C20" s="1082"/>
      <c r="D20" s="1085" t="s">
        <v>733</v>
      </c>
    </row>
    <row r="21" spans="1:10" x14ac:dyDescent="0.2">
      <c r="A21" s="1010"/>
      <c r="B21" s="1011">
        <v>1</v>
      </c>
      <c r="C21" s="2447" t="s">
        <v>331</v>
      </c>
      <c r="D21" s="2448"/>
    </row>
    <row r="22" spans="1:10" ht="12.75" x14ac:dyDescent="0.2">
      <c r="A22" s="1051"/>
      <c r="B22" s="1052">
        <v>2</v>
      </c>
      <c r="C22" s="2445" t="s">
        <v>1604</v>
      </c>
      <c r="D22" s="2446"/>
    </row>
    <row r="23" spans="1:10" ht="12.2" customHeight="1" x14ac:dyDescent="0.2">
      <c r="A23" s="1051"/>
      <c r="B23" s="1052"/>
      <c r="C23" s="1053" t="s">
        <v>1010</v>
      </c>
      <c r="D23" s="1054" t="str">
        <f>IF(COVER!O11="X","CASH",IF(COVER!O12="X","ACCRUAL ","PLEASE CHECK AN ACCOUNTING BASIS."))</f>
        <v xml:space="preserve">ACCRUAL </v>
      </c>
    </row>
    <row r="24" spans="1:10" ht="12.2" customHeight="1" x14ac:dyDescent="0.2">
      <c r="A24" s="1051"/>
      <c r="B24" s="1052"/>
      <c r="C24" s="1053" t="s">
        <v>1398</v>
      </c>
      <c r="D24" s="1054" t="str">
        <f>IF(COVER!O11="X","OK",IF(AND('Aud Quest 2'!J90=0,'Aud Quest 2'!I77&lt;DATE(2017,12,31)),"ENTER ACCOUNTING INFO",IF(AND('Aud Quest 2'!J90&gt;0,'Aud Quest 2'!I77&lt;DATE(2017,12,31)),"OK")))</f>
        <v>OK</v>
      </c>
    </row>
    <row r="25" spans="1:10" x14ac:dyDescent="0.2">
      <c r="A25" s="1012"/>
      <c r="B25" s="1013"/>
      <c r="C25" s="1014" t="s">
        <v>1606</v>
      </c>
      <c r="D25" s="1015" t="str">
        <f>IF(AND(COVER!J29="X",COVER!J30="X",COVER!L30&lt;&gt;"X"),"OK",IF(AND(COVER!J29="X",COVER!J30&lt;&gt;"X",COVER!L30="X"),"OK",IF(AND(COVER!L29="X",COVER!J30&lt;&gt;"X"),"OK","PLEASE CHECK YES or NO.")))</f>
        <v>OK</v>
      </c>
    </row>
    <row r="26" spans="1:10" x14ac:dyDescent="0.2">
      <c r="A26" s="1012"/>
      <c r="B26" s="1055"/>
      <c r="C26" s="1016" t="s">
        <v>1605</v>
      </c>
      <c r="D26" s="1017" t="str">
        <f>IF(AND(COVER!J29="X",COVER!J30="X",COVER!L29&lt;&gt;"X"),"OK",IF(AND(COVER!J29="X",COVER!J30&lt;&gt;"X",COVER!L30="X"),"SENDING AN A-133 SEPERATELY!",IF(AND(COVER!L29="X",COVER!J30&lt;&gt;"X"),"OK","PLEASE CHECK YES or NO.")))</f>
        <v>OK</v>
      </c>
    </row>
    <row r="27" spans="1:10" ht="12" hidden="1" customHeight="1" x14ac:dyDescent="0.2">
      <c r="A27" s="1018"/>
      <c r="B27" s="1055"/>
      <c r="C27" s="1014" t="s">
        <v>1031</v>
      </c>
      <c r="D27" s="1017" t="str">
        <f>IF(AND(COVER!J29="X",COVER!J31="X",COVER!L29&lt;&gt;"X"),"OK",IF(AND(COVER!J29="X",COVER!J31&lt;&gt;"X",COVER!L31="X"),"NO FINDINGS WERE ISSUED",IF(AND(COVER!L29="X",COVER!J31&lt;&gt;"X"),"OK","PLEASE CHECK YES or NO.")))</f>
        <v>OK</v>
      </c>
    </row>
    <row r="28" spans="1:10" ht="24" hidden="1" customHeight="1" x14ac:dyDescent="0.2">
      <c r="A28" s="1018"/>
      <c r="B28" s="1055"/>
      <c r="C28" s="1014" t="s">
        <v>896</v>
      </c>
      <c r="D28" s="1019" t="str">
        <f>IF('Aud Quest 2'!B53="X",IF('Aud Quest 2'!F53&gt;"00/00/00 ","Enter Effective Date","ok"))</f>
        <v>ok</v>
      </c>
    </row>
    <row r="29" spans="1:10" x14ac:dyDescent="0.2">
      <c r="A29" s="1012"/>
      <c r="B29" s="1055"/>
      <c r="C29" s="1016" t="s">
        <v>1439</v>
      </c>
      <c r="D29" s="101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10"/>
      <c r="B30" s="1052">
        <f>B22+1</f>
        <v>3</v>
      </c>
      <c r="C30" s="1020" t="s">
        <v>878</v>
      </c>
      <c r="D30" s="1021"/>
    </row>
    <row r="31" spans="1:10" x14ac:dyDescent="0.2">
      <c r="A31" s="1012"/>
      <c r="B31" s="1022"/>
      <c r="C31" s="1056" t="s">
        <v>271</v>
      </c>
      <c r="D31" s="1023" t="str">
        <f>IF(SUM('FP Info 3'!J10:L10)&lt;=0.0999999,"OK","CORRECT THE TAX RATES BY MOVING THE DECIMAL TWO PLACES TO THE LEFT.")</f>
        <v>OK</v>
      </c>
      <c r="E31" s="355"/>
      <c r="F31" s="355"/>
      <c r="G31" s="355"/>
      <c r="H31" s="355"/>
      <c r="I31" s="355"/>
      <c r="J31" s="355"/>
    </row>
    <row r="32" spans="1:10" x14ac:dyDescent="0.2">
      <c r="A32" s="1012"/>
      <c r="B32" s="1057"/>
      <c r="C32" s="1024" t="s">
        <v>1034</v>
      </c>
      <c r="D32" s="1015" t="str">
        <f>IF(OR(COVER!B6="x",'FP Info 3'!B31="X",'FP Info 3'!B32="X"),"OK","ENTRY IS REQUIRED!")</f>
        <v>OK</v>
      </c>
    </row>
    <row r="33" spans="1:12" s="1028" customFormat="1" ht="12.75" customHeight="1" x14ac:dyDescent="0.2">
      <c r="A33" s="1025"/>
      <c r="B33" s="1052">
        <f>B30+1</f>
        <v>4</v>
      </c>
      <c r="C33" s="1026" t="s">
        <v>812</v>
      </c>
      <c r="D33" s="1027"/>
    </row>
    <row r="34" spans="1:12" s="1028" customFormat="1" x14ac:dyDescent="0.2">
      <c r="A34" s="1029"/>
      <c r="B34" s="1052"/>
      <c r="C34" s="1030" t="s">
        <v>879</v>
      </c>
      <c r="D34" s="1015" t="str">
        <f>IF('Assets-Liab 5-6'!C4&lt;-0.49, "ERROR!","OK")</f>
        <v>OK</v>
      </c>
    </row>
    <row r="35" spans="1:12" x14ac:dyDescent="0.2">
      <c r="A35" s="1029"/>
      <c r="B35" s="1052"/>
      <c r="C35" s="1030" t="s">
        <v>323</v>
      </c>
      <c r="D35" s="1015" t="str">
        <f>IF('Assets-Liab 5-6'!D4&lt;-0.49, "ERROR!","OK")</f>
        <v>OK</v>
      </c>
      <c r="L35" s="1084"/>
    </row>
    <row r="36" spans="1:12" x14ac:dyDescent="0.2">
      <c r="A36" s="1029"/>
      <c r="B36" s="1052"/>
      <c r="C36" s="1030" t="s">
        <v>813</v>
      </c>
      <c r="D36" s="1015" t="str">
        <f>IF('Assets-Liab 5-6'!E4&lt;-0.49, "ERROR!","OK")</f>
        <v>OK</v>
      </c>
    </row>
    <row r="37" spans="1:12" x14ac:dyDescent="0.2">
      <c r="A37" s="1029"/>
      <c r="B37" s="1052"/>
      <c r="C37" s="1030" t="s">
        <v>324</v>
      </c>
      <c r="D37" s="1015" t="str">
        <f>IF('Assets-Liab 5-6'!F4&lt;-0.49, "ERROR!","OK")</f>
        <v>OK</v>
      </c>
    </row>
    <row r="38" spans="1:12" x14ac:dyDescent="0.2">
      <c r="A38" s="1029"/>
      <c r="B38" s="1052"/>
      <c r="C38" s="1030" t="s">
        <v>325</v>
      </c>
      <c r="D38" s="1015" t="str">
        <f>IF('Assets-Liab 5-6'!G4&lt;-0.49, "ERROR!","OK")</f>
        <v>OK</v>
      </c>
    </row>
    <row r="39" spans="1:12" x14ac:dyDescent="0.2">
      <c r="A39" s="1029"/>
      <c r="B39" s="1052"/>
      <c r="C39" s="1030" t="s">
        <v>814</v>
      </c>
      <c r="D39" s="1015" t="str">
        <f>IF('Assets-Liab 5-6'!H4&lt;-0.49, "ERROR!","OK")</f>
        <v>OK</v>
      </c>
    </row>
    <row r="40" spans="1:12" x14ac:dyDescent="0.2">
      <c r="A40" s="1029"/>
      <c r="B40" s="1052"/>
      <c r="C40" s="1030" t="s">
        <v>326</v>
      </c>
      <c r="D40" s="1015" t="str">
        <f>IF('Assets-Liab 5-6'!I4&lt;-0.49, "ERROR!","OK")</f>
        <v>OK</v>
      </c>
    </row>
    <row r="41" spans="1:12" x14ac:dyDescent="0.2">
      <c r="A41" s="1029"/>
      <c r="B41" s="1052"/>
      <c r="C41" s="1030" t="s">
        <v>815</v>
      </c>
      <c r="D41" s="1015" t="str">
        <f>IF('Assets-Liab 5-6'!J4&lt;-0.49, "ERROR!","OK")</f>
        <v>OK</v>
      </c>
    </row>
    <row r="42" spans="1:12" x14ac:dyDescent="0.2">
      <c r="A42" s="1029"/>
      <c r="B42" s="1052"/>
      <c r="C42" s="1030" t="s">
        <v>327</v>
      </c>
      <c r="D42" s="1015" t="str">
        <f>IF('Assets-Liab 5-6'!K4&lt;-0.49, "ERROR!","OK")</f>
        <v>OK</v>
      </c>
    </row>
    <row r="43" spans="1:12" x14ac:dyDescent="0.2">
      <c r="A43" s="1031"/>
      <c r="B43" s="1032">
        <f>B33+1</f>
        <v>5</v>
      </c>
      <c r="C43" s="2449" t="s">
        <v>556</v>
      </c>
      <c r="D43" s="2450"/>
    </row>
    <row r="44" spans="1:12" x14ac:dyDescent="0.2">
      <c r="A44" s="1031"/>
      <c r="B44" s="1033"/>
      <c r="C44" s="1034" t="s">
        <v>1401</v>
      </c>
      <c r="D44" s="1035" t="str">
        <f>IF(SUM('Assets-Liab 5-6'!C13)&lt;&gt;SUM('Assets-Liab 5-6'!C41),"ERROR!","OK")</f>
        <v>OK</v>
      </c>
    </row>
    <row r="45" spans="1:12" x14ac:dyDescent="0.2">
      <c r="A45" s="1031"/>
      <c r="B45" s="1033"/>
      <c r="C45" s="1034" t="s">
        <v>1402</v>
      </c>
      <c r="D45" s="1035" t="str">
        <f>IF(SUM('Assets-Liab 5-6'!D13)&lt;&gt;SUM('Assets-Liab 5-6'!D41),"ERROR!","OK")</f>
        <v>OK</v>
      </c>
    </row>
    <row r="46" spans="1:12" x14ac:dyDescent="0.2">
      <c r="A46" s="1031"/>
      <c r="B46" s="1033"/>
      <c r="C46" s="1034" t="s">
        <v>1403</v>
      </c>
      <c r="D46" s="1035" t="str">
        <f>IF(SUM('Assets-Liab 5-6'!E13)&lt;&gt;SUM('Assets-Liab 5-6'!E41),"ERROR!","OK")</f>
        <v>OK</v>
      </c>
    </row>
    <row r="47" spans="1:12" x14ac:dyDescent="0.2">
      <c r="A47" s="1031"/>
      <c r="B47" s="1033"/>
      <c r="C47" s="1034" t="s">
        <v>1404</v>
      </c>
      <c r="D47" s="1035" t="str">
        <f>IF(SUM('Assets-Liab 5-6'!F13)&lt;&gt;SUM('Assets-Liab 5-6'!F41),"ERROR!","OK")</f>
        <v>OK</v>
      </c>
    </row>
    <row r="48" spans="1:12" x14ac:dyDescent="0.2">
      <c r="A48" s="1031"/>
      <c r="B48" s="1033"/>
      <c r="C48" s="1034" t="s">
        <v>1405</v>
      </c>
      <c r="D48" s="1035" t="str">
        <f>IF(SUM('Assets-Liab 5-6'!G13)&lt;&gt;SUM('Assets-Liab 5-6'!G41),"ERROR!","OK")</f>
        <v>OK</v>
      </c>
    </row>
    <row r="49" spans="1:4" x14ac:dyDescent="0.2">
      <c r="A49" s="1031"/>
      <c r="B49" s="1033"/>
      <c r="C49" s="1034" t="s">
        <v>1406</v>
      </c>
      <c r="D49" s="1035" t="str">
        <f>IF(SUM('Assets-Liab 5-6'!H13)&lt;&gt;SUM('Assets-Liab 5-6'!H41),"ERROR!","OK")</f>
        <v>OK</v>
      </c>
    </row>
    <row r="50" spans="1:4" x14ac:dyDescent="0.2">
      <c r="A50" s="1031"/>
      <c r="B50" s="1033"/>
      <c r="C50" s="1034" t="s">
        <v>1407</v>
      </c>
      <c r="D50" s="1035" t="str">
        <f>IF(SUM('Assets-Liab 5-6'!I13)&lt;&gt;SUM('Assets-Liab 5-6'!I41),"ERROR!","OK")</f>
        <v>OK</v>
      </c>
    </row>
    <row r="51" spans="1:4" x14ac:dyDescent="0.2">
      <c r="A51" s="1031"/>
      <c r="B51" s="1033"/>
      <c r="C51" s="1034" t="s">
        <v>1408</v>
      </c>
      <c r="D51" s="1035" t="str">
        <f>IF(SUM('Assets-Liab 5-6'!J13)&lt;&gt;SUM('Assets-Liab 5-6'!J41),"ERROR!","OK")</f>
        <v>OK</v>
      </c>
    </row>
    <row r="52" spans="1:4" x14ac:dyDescent="0.2">
      <c r="A52" s="1031"/>
      <c r="B52" s="1033"/>
      <c r="C52" s="1034" t="s">
        <v>1409</v>
      </c>
      <c r="D52" s="1035" t="str">
        <f>IF(SUM('Assets-Liab 5-6'!K13)&lt;&gt;SUM('Assets-Liab 5-6'!K41),"ERROR!","OK")</f>
        <v>OK</v>
      </c>
    </row>
    <row r="53" spans="1:4" x14ac:dyDescent="0.2">
      <c r="A53" s="1031"/>
      <c r="B53" s="1033"/>
      <c r="C53" s="1034" t="s">
        <v>1410</v>
      </c>
      <c r="D53" s="1035" t="str">
        <f>IF(SUM('Assets-Liab 5-6'!L13)&lt;&gt;('Assets-Liab 5-6'!L41),"ERROR!","OK")</f>
        <v>OK</v>
      </c>
    </row>
    <row r="54" spans="1:4" x14ac:dyDescent="0.2">
      <c r="A54" s="1031"/>
      <c r="B54" s="1033"/>
      <c r="C54" s="1034" t="s">
        <v>1411</v>
      </c>
      <c r="D54" s="1035" t="str">
        <f>IF(SUM('Assets-Liab 5-6'!M23)&lt;&gt;('Assets-Liab 5-6'!M41),"ERROR!","OK")</f>
        <v>OK</v>
      </c>
    </row>
    <row r="55" spans="1:4" x14ac:dyDescent="0.2">
      <c r="A55" s="1031"/>
      <c r="B55" s="1033"/>
      <c r="C55" s="1034" t="s">
        <v>1412</v>
      </c>
      <c r="D55" s="1035" t="str">
        <f>IF(SUM('Assets-Liab 5-6'!N23)&lt;&gt;('Assets-Liab 5-6'!N41),"ERROR!","OK")</f>
        <v>OK</v>
      </c>
    </row>
    <row r="56" spans="1:4" x14ac:dyDescent="0.2">
      <c r="A56" s="1012"/>
      <c r="B56" s="1032">
        <f>B43+1</f>
        <v>6</v>
      </c>
      <c r="C56" s="2441" t="s">
        <v>816</v>
      </c>
      <c r="D56" s="2442"/>
    </row>
    <row r="57" spans="1:4" s="1028" customFormat="1" x14ac:dyDescent="0.2">
      <c r="A57" s="1012"/>
      <c r="B57" s="1022"/>
      <c r="C57" s="1030" t="s">
        <v>1413</v>
      </c>
      <c r="D57" s="1036" t="str">
        <f>IF('Assets-Liab 5-6'!C38+'Assets-Liab 5-6'!C39='Acct Summary 7-8'!C81,"OK","ERROR!")</f>
        <v>OK</v>
      </c>
    </row>
    <row r="58" spans="1:4" x14ac:dyDescent="0.2">
      <c r="A58" s="1012"/>
      <c r="B58" s="1022"/>
      <c r="C58" s="1030" t="s">
        <v>1414</v>
      </c>
      <c r="D58" s="1036" t="str">
        <f>IF((('Assets-Liab 5-6'!D38+'Assets-Liab 5-6'!D39) ='Acct Summary 7-8'!D81), "OK", "ERROR!" )</f>
        <v>OK</v>
      </c>
    </row>
    <row r="59" spans="1:4" s="1028" customFormat="1" x14ac:dyDescent="0.2">
      <c r="A59" s="1012"/>
      <c r="B59" s="1022"/>
      <c r="C59" s="1030" t="s">
        <v>1415</v>
      </c>
      <c r="D59" s="1036" t="str">
        <f>IF((('Assets-Liab 5-6'!E38 + 'Assets-Liab 5-6'!E39) ='Acct Summary 7-8'!E81), "OK", "ERROR!" )</f>
        <v>OK</v>
      </c>
    </row>
    <row r="60" spans="1:4" x14ac:dyDescent="0.2">
      <c r="A60" s="1012"/>
      <c r="B60" s="1022"/>
      <c r="C60" s="1030" t="s">
        <v>1416</v>
      </c>
      <c r="D60" s="1036" t="str">
        <f>IF((('Assets-Liab 5-6'!F38 + 'Assets-Liab 5-6'!F39) ='Acct Summary 7-8'!F81), "OK", "ERROR!" )</f>
        <v>OK</v>
      </c>
    </row>
    <row r="61" spans="1:4" ht="12.75" customHeight="1" x14ac:dyDescent="0.2">
      <c r="A61" s="1012"/>
      <c r="B61" s="1022"/>
      <c r="C61" s="1030" t="s">
        <v>1429</v>
      </c>
      <c r="D61" s="1036" t="str">
        <f>IF((('Assets-Liab 5-6'!G38 + 'Assets-Liab 5-6'!G39) ='Acct Summary 7-8'!G81), "OK", "ERROR!" )</f>
        <v>OK</v>
      </c>
    </row>
    <row r="62" spans="1:4" x14ac:dyDescent="0.2">
      <c r="A62" s="1012"/>
      <c r="B62" s="1022"/>
      <c r="C62" s="1030" t="s">
        <v>1417</v>
      </c>
      <c r="D62" s="1036" t="str">
        <f>IF((('Assets-Liab 5-6'!H38 + 'Assets-Liab 5-6'!H39) ='Acct Summary 7-8'!H81), "OK", "ERROR!" )</f>
        <v>OK</v>
      </c>
    </row>
    <row r="63" spans="1:4" ht="12.75" customHeight="1" x14ac:dyDescent="0.2">
      <c r="A63" s="1012"/>
      <c r="B63" s="1022"/>
      <c r="C63" s="1030" t="s">
        <v>1418</v>
      </c>
      <c r="D63" s="1036" t="str">
        <f>IF((('Assets-Liab 5-6'!I38 + 'Assets-Liab 5-6'!I39) ='Acct Summary 7-8'!I81), "OK", "ERROR!" )</f>
        <v>OK</v>
      </c>
    </row>
    <row r="64" spans="1:4" x14ac:dyDescent="0.2">
      <c r="A64" s="1012"/>
      <c r="B64" s="1022"/>
      <c r="C64" s="1030" t="s">
        <v>1419</v>
      </c>
      <c r="D64" s="1036" t="str">
        <f>IF((('Assets-Liab 5-6'!J38 + 'Assets-Liab 5-6'!J39) ='Acct Summary 7-8'!J81), "OK", "ERROR!" )</f>
        <v>OK</v>
      </c>
    </row>
    <row r="65" spans="1:4" x14ac:dyDescent="0.2">
      <c r="A65" s="1029"/>
      <c r="B65" s="1022"/>
      <c r="C65" s="1030" t="s">
        <v>1430</v>
      </c>
      <c r="D65" s="1036" t="str">
        <f>IF((('Assets-Liab 5-6'!K38 + 'Assets-Liab 5-6'!K39) ='Acct Summary 7-8'!K81), "OK", "ERROR!" )</f>
        <v>OK</v>
      </c>
    </row>
    <row r="66" spans="1:4" x14ac:dyDescent="0.2">
      <c r="A66" s="1010"/>
      <c r="B66" s="1052">
        <f>B56+1+1</f>
        <v>8</v>
      </c>
      <c r="C66" s="1058" t="s">
        <v>2046</v>
      </c>
      <c r="D66" s="1037"/>
    </row>
    <row r="67" spans="1:4" x14ac:dyDescent="0.2">
      <c r="A67" s="1031"/>
      <c r="B67" s="1052"/>
      <c r="C67" s="1059" t="s">
        <v>1078</v>
      </c>
      <c r="D67" s="1037"/>
    </row>
    <row r="68" spans="1:4" x14ac:dyDescent="0.2">
      <c r="A68" s="1012"/>
      <c r="B68" s="1022"/>
      <c r="C68" s="1014" t="s">
        <v>2047</v>
      </c>
      <c r="D68" s="1036" t="str">
        <f>IF('Short-Term Long-Term Debt 24'!F49=SUM(,'Acct Summary 7-8'!C33:K33),"OK","ERROR!")</f>
        <v>OK</v>
      </c>
    </row>
    <row r="69" spans="1:4" x14ac:dyDescent="0.2">
      <c r="A69" s="1012"/>
      <c r="B69" s="1022"/>
      <c r="C69" s="1014" t="s">
        <v>2048</v>
      </c>
      <c r="D69" s="1036" t="str">
        <f>IF('Expenditures 15-22'!H170&lt;&gt;'Short-Term Long-Term Debt 24'!H49,"ERROR!","OK")</f>
        <v>OK</v>
      </c>
    </row>
    <row r="70" spans="1:4" x14ac:dyDescent="0.2">
      <c r="A70" s="1010"/>
      <c r="B70" s="1032">
        <f>B66+1</f>
        <v>9</v>
      </c>
      <c r="C70" s="2441" t="s">
        <v>1796</v>
      </c>
      <c r="D70" s="2442"/>
    </row>
    <row r="71" spans="1:4" x14ac:dyDescent="0.2">
      <c r="A71" s="1010"/>
      <c r="B71" s="1032"/>
      <c r="C71" s="1014" t="s">
        <v>1420</v>
      </c>
      <c r="D71" s="1038" t="str">
        <f>IF(SUM('Acct Summary 7-8'!C27:K27) =SUM( 'Acct Summary 7-8'!C49:K49),"OK", "ERROR")</f>
        <v>OK</v>
      </c>
    </row>
    <row r="72" spans="1:4" x14ac:dyDescent="0.2">
      <c r="A72" s="1012"/>
      <c r="B72" s="1022"/>
      <c r="C72" s="1030" t="s">
        <v>1421</v>
      </c>
      <c r="D72" s="1036" t="str">
        <f>IF(SUM('Acct Summary 7-8'!C28:K28)=SUM('Acct Summary 7-8'!C50:K50),"OK","ERROR!")</f>
        <v>OK</v>
      </c>
    </row>
    <row r="73" spans="1:4" ht="24" x14ac:dyDescent="0.2">
      <c r="A73" s="1039"/>
      <c r="B73" s="1022"/>
      <c r="C73" s="1030" t="s">
        <v>1797</v>
      </c>
      <c r="D73" s="1038" t="str">
        <f>IF(SUM('Acct Summary 7-8'!C42:K42)&gt;=SUM( 'Acct Summary 7-8'!C74:K74),"OK", "ERROR")</f>
        <v>OK</v>
      </c>
    </row>
    <row r="74" spans="1:4" x14ac:dyDescent="0.2">
      <c r="A74" s="1010"/>
      <c r="B74" s="1032">
        <f>B70+1</f>
        <v>10</v>
      </c>
      <c r="C74" s="1026" t="s">
        <v>2049</v>
      </c>
      <c r="D74" s="1040"/>
    </row>
    <row r="75" spans="1:4" x14ac:dyDescent="0.2">
      <c r="A75" s="1012"/>
      <c r="B75" s="1022"/>
      <c r="C75" s="1030" t="s">
        <v>1443</v>
      </c>
      <c r="D75" s="1036" t="str">
        <f>IF(SUM('Assets-Liab 5-6'!C38:H38)&gt;=SUM('Rest Tax Levies-Tort Im 25'!G25:K25),"OK","ERROR")</f>
        <v>OK</v>
      </c>
    </row>
    <row r="76" spans="1:4" x14ac:dyDescent="0.2">
      <c r="A76" s="1012"/>
      <c r="B76" s="1022"/>
      <c r="C76" s="1030" t="s">
        <v>1489</v>
      </c>
      <c r="D76" s="1036" t="str">
        <f>IF(SUM('Assets-Liab 5-6'!C39:K39)&gt;0,"OK","ENTRY IS REQUIRED!")</f>
        <v>OK</v>
      </c>
    </row>
    <row r="77" spans="1:4" x14ac:dyDescent="0.2">
      <c r="A77" s="1012"/>
      <c r="B77" s="1041">
        <f>B74+1</f>
        <v>11</v>
      </c>
      <c r="C77" s="1086" t="s">
        <v>1444</v>
      </c>
      <c r="D77" s="1036"/>
    </row>
    <row r="78" spans="1:4" x14ac:dyDescent="0.2">
      <c r="A78" s="1012"/>
      <c r="B78" s="1022"/>
      <c r="C78" s="1030" t="s">
        <v>2050</v>
      </c>
      <c r="D78" s="1036" t="str">
        <f>IF(ISNUMBER('Acct Summary 7-8'!C9),"OK","ENTRY IS REQUIRED!")</f>
        <v>OK</v>
      </c>
    </row>
    <row r="79" spans="1:4" x14ac:dyDescent="0.2">
      <c r="A79" s="1031"/>
      <c r="B79" s="1032">
        <f>B74+1+1</f>
        <v>12</v>
      </c>
      <c r="C79" s="1042" t="s">
        <v>2015</v>
      </c>
      <c r="D79" s="1043" t="str">
        <f>IF(OR(COVER!$B$6="X",'PCTC-OEPP 27-28'!F78&gt;0),"OK","PLEASE ENTER 9 MO ADA.")</f>
        <v>OK</v>
      </c>
    </row>
    <row r="80" spans="1:4" x14ac:dyDescent="0.2">
      <c r="A80" s="1010"/>
      <c r="B80" s="1032">
        <v>13</v>
      </c>
      <c r="C80" s="1042" t="s">
        <v>2051</v>
      </c>
      <c r="D80" s="1043" t="str">
        <f>IF('Contracts Paid in CY 29'!D141&gt;0,"OK","PLEASE ENTER CONTRACTS PAID IN CURRENT YEAR.")</f>
        <v>OK</v>
      </c>
    </row>
    <row r="81" spans="1:4" x14ac:dyDescent="0.2">
      <c r="A81" s="1010"/>
      <c r="B81" s="1032">
        <v>14</v>
      </c>
      <c r="C81" s="1042" t="s">
        <v>1495</v>
      </c>
      <c r="D81" s="1035" t="str">
        <f>IF('Shared Outsourced Services 31'!B8="X","OK",IF('Shared Outsourced Services 31'!K34&gt;0,"OK","ENTRY REQUIRED!"))</f>
        <v>OK</v>
      </c>
    </row>
    <row r="82" spans="1:4" x14ac:dyDescent="0.2">
      <c r="A82" s="1031"/>
      <c r="B82" s="1032">
        <v>15</v>
      </c>
      <c r="C82" s="1042" t="s">
        <v>1494</v>
      </c>
      <c r="D82" s="1044"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9010004026</v>
      </c>
    </row>
    <row r="3" spans="1:2" x14ac:dyDescent="0.2">
      <c r="A3" t="s">
        <v>1012</v>
      </c>
      <c r="B3" s="134" t="str">
        <f>COVER!A15</f>
        <v>Champaign</v>
      </c>
    </row>
    <row r="4" spans="1:2" x14ac:dyDescent="0.2">
      <c r="A4" t="s">
        <v>1063</v>
      </c>
      <c r="B4" s="134" t="str">
        <f>COVER!A17</f>
        <v>Champaign Community Unit School District 4</v>
      </c>
    </row>
    <row r="5" spans="1:2" x14ac:dyDescent="0.2">
      <c r="A5" t="s">
        <v>727</v>
      </c>
      <c r="B5" s="134" t="str">
        <f>COVER!A38</f>
        <v>Dr. Susan Zola</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Yes</v>
      </c>
    </row>
    <row r="13" spans="1:2" x14ac:dyDescent="0.2">
      <c r="A13" s="1" t="s">
        <v>1624</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Joe Lightcap</v>
      </c>
    </row>
    <row r="18" spans="1:2" x14ac:dyDescent="0.2">
      <c r="A18" t="s">
        <v>1211</v>
      </c>
      <c r="B18" s="134" t="str">
        <f>COVER!T17</f>
        <v>1301 West 22nd Street, Suite 400</v>
      </c>
    </row>
    <row r="19" spans="1:2" x14ac:dyDescent="0.2">
      <c r="A19" t="s">
        <v>940</v>
      </c>
      <c r="B19" s="134" t="str">
        <f>COVER!T25</f>
        <v>Joe.Lightcap@bakertilly.com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Yes</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33512</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34296209</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140061</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97018198</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229225</v>
      </c>
      <c r="D86" s="2" t="str">
        <f t="shared" si="0"/>
        <v>Error?</v>
      </c>
    </row>
    <row r="87" spans="1:4" x14ac:dyDescent="0.2">
      <c r="A87" s="10">
        <v>26</v>
      </c>
      <c r="D87" s="2" t="str">
        <f t="shared" si="0"/>
        <v>OK</v>
      </c>
    </row>
    <row r="88" spans="1:4" x14ac:dyDescent="0.2">
      <c r="A88" s="5">
        <v>27</v>
      </c>
      <c r="B88" s="134">
        <f>'Assets-Liab 5-6'!C32</f>
        <v>36472609</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42809148</v>
      </c>
      <c r="C91" s="2" t="s">
        <v>593</v>
      </c>
      <c r="D91" s="2" t="str">
        <f t="shared" si="0"/>
        <v>Error?</v>
      </c>
    </row>
    <row r="92" spans="1:4" x14ac:dyDescent="0.2">
      <c r="A92" s="5">
        <v>31</v>
      </c>
      <c r="B92" s="134">
        <f>'Assets-Liab 5-6'!C39</f>
        <v>53443820</v>
      </c>
      <c r="D92" s="2" t="str">
        <f t="shared" si="0"/>
        <v>Error?</v>
      </c>
    </row>
    <row r="93" spans="1:4" x14ac:dyDescent="0.2">
      <c r="A93" s="5">
        <v>32</v>
      </c>
      <c r="B93" s="134">
        <f>'Assets-Liab 5-6'!C41</f>
        <v>97018198</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4622453</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9276</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8729693</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4631729</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4965424</v>
      </c>
      <c r="C122" s="2" t="s">
        <v>593</v>
      </c>
      <c r="D122" s="2" t="str">
        <f t="shared" si="0"/>
        <v>Error?</v>
      </c>
    </row>
    <row r="123" spans="1:4" x14ac:dyDescent="0.2">
      <c r="A123" s="5">
        <v>62</v>
      </c>
      <c r="B123" s="134">
        <f>'Assets-Liab 5-6'!D39</f>
        <v>3764269</v>
      </c>
      <c r="D123" s="2" t="str">
        <f t="shared" si="0"/>
        <v>Error?</v>
      </c>
    </row>
    <row r="124" spans="1:4" x14ac:dyDescent="0.2">
      <c r="A124" s="5">
        <v>63</v>
      </c>
      <c r="B124" s="134">
        <f>'Assets-Liab 5-6'!D41</f>
        <v>8729693</v>
      </c>
      <c r="C124" s="2" t="s">
        <v>593</v>
      </c>
      <c r="D124" s="2" t="str">
        <f t="shared" si="0"/>
        <v>Error?</v>
      </c>
    </row>
    <row r="125" spans="1:4" x14ac:dyDescent="0.2">
      <c r="A125" s="10">
        <v>64</v>
      </c>
      <c r="D125" s="2" t="str">
        <f t="shared" si="0"/>
        <v>OK</v>
      </c>
    </row>
    <row r="126" spans="1:4" x14ac:dyDescent="0.2">
      <c r="A126" s="5">
        <v>65</v>
      </c>
      <c r="B126" s="134">
        <f>'Assets-Liab 5-6'!E6</f>
        <v>8022666</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18545608</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8022666</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8022666</v>
      </c>
      <c r="C139" s="2" t="s">
        <v>593</v>
      </c>
      <c r="D139" s="2" t="str">
        <f t="shared" si="1"/>
        <v>Error?</v>
      </c>
    </row>
    <row r="140" spans="1:4" x14ac:dyDescent="0.2">
      <c r="A140" s="5">
        <v>79</v>
      </c>
      <c r="B140" s="134">
        <f>'Assets-Liab 5-6'!E39</f>
        <v>7389537</v>
      </c>
      <c r="D140" s="2" t="str">
        <f t="shared" si="1"/>
        <v>Error?</v>
      </c>
    </row>
    <row r="141" spans="1:4" x14ac:dyDescent="0.2">
      <c r="A141" s="5">
        <v>80</v>
      </c>
      <c r="B141" s="134">
        <f>'Assets-Liab 5-6'!E41</f>
        <v>18545608</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2273957</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3972584</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3055719</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3219066</v>
      </c>
      <c r="C169" s="2" t="s">
        <v>593</v>
      </c>
      <c r="D169" s="2" t="str">
        <f t="shared" si="1"/>
        <v>Error?</v>
      </c>
    </row>
    <row r="170" spans="1:4" x14ac:dyDescent="0.2">
      <c r="A170" s="5">
        <v>109</v>
      </c>
      <c r="B170" s="134">
        <f>'Assets-Liab 5-6'!F39</f>
        <v>753518</v>
      </c>
      <c r="D170" s="2" t="str">
        <f t="shared" si="1"/>
        <v>Error?</v>
      </c>
    </row>
    <row r="171" spans="1:4" x14ac:dyDescent="0.2">
      <c r="A171" s="5">
        <v>110</v>
      </c>
      <c r="B171" s="134">
        <f>'Assets-Liab 5-6'!F41</f>
        <v>3972584</v>
      </c>
      <c r="C171" s="2" t="s">
        <v>593</v>
      </c>
      <c r="D171" s="2" t="str">
        <f t="shared" si="1"/>
        <v>Error?</v>
      </c>
    </row>
    <row r="172" spans="1:4" x14ac:dyDescent="0.2">
      <c r="A172" s="10">
        <v>111</v>
      </c>
      <c r="D172" s="2" t="str">
        <f t="shared" si="1"/>
        <v>OK</v>
      </c>
    </row>
    <row r="173" spans="1:4" x14ac:dyDescent="0.2">
      <c r="A173" s="5">
        <v>112</v>
      </c>
      <c r="B173" s="134">
        <f>'Assets-Liab 5-6'!G6</f>
        <v>2013578</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1121</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3253724</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2014699</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2252159</v>
      </c>
      <c r="C188" s="2" t="s">
        <v>593</v>
      </c>
      <c r="D188" s="2" t="str">
        <f t="shared" si="1"/>
        <v>Error?</v>
      </c>
    </row>
    <row r="189" spans="1:4" x14ac:dyDescent="0.2">
      <c r="A189" s="5">
        <v>128</v>
      </c>
      <c r="B189" s="134">
        <f>'Assets-Liab 5-6'!G39</f>
        <v>1001565</v>
      </c>
      <c r="D189" s="2" t="str">
        <f t="shared" si="1"/>
        <v>Error?</v>
      </c>
    </row>
    <row r="190" spans="1:4" x14ac:dyDescent="0.2">
      <c r="A190" s="5">
        <v>129</v>
      </c>
      <c r="B190" s="134">
        <f>'Assets-Liab 5-6'!G41</f>
        <v>3253724</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370353</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122496434</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370353</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1543141</v>
      </c>
      <c r="C211" s="2" t="s">
        <v>593</v>
      </c>
      <c r="D211" s="2" t="str">
        <f t="shared" si="2"/>
        <v>Error?</v>
      </c>
    </row>
    <row r="212" spans="1:4" x14ac:dyDescent="0.2">
      <c r="A212" s="5">
        <v>151</v>
      </c>
      <c r="B212" s="134">
        <f>'Assets-Liab 5-6'!H39</f>
        <v>120063440</v>
      </c>
      <c r="D212" s="2" t="str">
        <f t="shared" si="2"/>
        <v>Error?</v>
      </c>
    </row>
    <row r="213" spans="1:4" x14ac:dyDescent="0.2">
      <c r="A213" s="12">
        <v>152</v>
      </c>
      <c r="B213" s="134">
        <f>'Assets-Liab 5-6'!H41</f>
        <v>122496434</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13443389</v>
      </c>
      <c r="D273" s="2" t="str">
        <f t="shared" si="3"/>
        <v>Error?</v>
      </c>
    </row>
    <row r="274" spans="1:4" x14ac:dyDescent="0.2">
      <c r="A274" s="5">
        <v>213</v>
      </c>
      <c r="B274" s="134">
        <f>'Assets-Liab 5-6'!M17</f>
        <v>138267372</v>
      </c>
      <c r="D274" s="2" t="str">
        <f t="shared" si="3"/>
        <v>Error?</v>
      </c>
    </row>
    <row r="275" spans="1:4" x14ac:dyDescent="0.2">
      <c r="A275" s="5">
        <v>214</v>
      </c>
      <c r="B275" s="134">
        <f>'Assets-Liab 5-6'!M18</f>
        <v>0</v>
      </c>
      <c r="D275" s="2" t="str">
        <f t="shared" si="3"/>
        <v>Error?</v>
      </c>
    </row>
    <row r="276" spans="1:4" x14ac:dyDescent="0.2">
      <c r="A276" s="5">
        <v>215</v>
      </c>
      <c r="B276" s="134">
        <f>'Assets-Liab 5-6'!M19</f>
        <v>15793242</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172614562</v>
      </c>
      <c r="C279" s="2" t="s">
        <v>593</v>
      </c>
      <c r="D279" s="2" t="str">
        <f t="shared" si="3"/>
        <v>Error?</v>
      </c>
    </row>
    <row r="280" spans="1:4" x14ac:dyDescent="0.2">
      <c r="A280" s="5">
        <v>219</v>
      </c>
      <c r="B280" s="134">
        <f>'Assets-Liab 5-6'!M40</f>
        <v>172614562</v>
      </c>
      <c r="D280" s="2" t="str">
        <f t="shared" si="3"/>
        <v>Error?</v>
      </c>
    </row>
    <row r="281" spans="1:4" x14ac:dyDescent="0.2">
      <c r="A281" s="5">
        <v>220</v>
      </c>
      <c r="B281" s="134">
        <f>'Assets-Liab 5-6'!M41</f>
        <v>172614562</v>
      </c>
      <c r="C281" s="2" t="s">
        <v>593</v>
      </c>
      <c r="D281" s="2" t="str">
        <f t="shared" si="3"/>
        <v>Error?</v>
      </c>
    </row>
    <row r="282" spans="1:4" x14ac:dyDescent="0.2">
      <c r="A282" s="5">
        <v>221</v>
      </c>
      <c r="B282" s="134">
        <f>'Assets-Liab 5-6'!N21</f>
        <v>10522942</v>
      </c>
      <c r="D282" s="2" t="str">
        <f t="shared" si="3"/>
        <v>Error?</v>
      </c>
    </row>
    <row r="283" spans="1:4" x14ac:dyDescent="0.2">
      <c r="A283" s="5">
        <v>222</v>
      </c>
      <c r="B283" s="134">
        <f>'Assets-Liab 5-6'!N22</f>
        <v>201009504.00000003</v>
      </c>
      <c r="D283" s="2" t="str">
        <f t="shared" si="3"/>
        <v>Error?</v>
      </c>
    </row>
    <row r="284" spans="1:4" x14ac:dyDescent="0.2">
      <c r="A284" s="5">
        <v>223</v>
      </c>
      <c r="B284" s="134">
        <f>'Assets-Liab 5-6'!N23</f>
        <v>211532446.00000003</v>
      </c>
      <c r="C284" s="2" t="s">
        <v>593</v>
      </c>
      <c r="D284" s="2" t="str">
        <f t="shared" si="3"/>
        <v>Error?</v>
      </c>
    </row>
    <row r="285" spans="1:4" x14ac:dyDescent="0.2">
      <c r="A285" s="5">
        <v>224</v>
      </c>
      <c r="B285" s="134">
        <f>'Assets-Liab 5-6'!N36</f>
        <v>211532446</v>
      </c>
      <c r="D285" s="2" t="str">
        <f t="shared" si="3"/>
        <v>Error?</v>
      </c>
    </row>
    <row r="286" spans="1:4" x14ac:dyDescent="0.2">
      <c r="A286" s="10">
        <v>225</v>
      </c>
      <c r="D286" s="2" t="str">
        <f t="shared" si="3"/>
        <v>OK</v>
      </c>
    </row>
    <row r="287" spans="1:4" x14ac:dyDescent="0.2">
      <c r="A287" s="5">
        <v>226</v>
      </c>
      <c r="B287" s="134">
        <f>'Assets-Liab 5-6'!N37</f>
        <v>211532446</v>
      </c>
      <c r="C287" s="2" t="s">
        <v>593</v>
      </c>
      <c r="D287" s="2" t="str">
        <f t="shared" si="3"/>
        <v>Error?</v>
      </c>
    </row>
    <row r="288" spans="1:4" x14ac:dyDescent="0.2">
      <c r="A288" s="5">
        <v>227</v>
      </c>
      <c r="B288" s="134">
        <f>'Assets-Liab 5-6'!N41</f>
        <v>211532446</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64179</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110000000</v>
      </c>
      <c r="D618" s="2" t="str">
        <f t="shared" si="8"/>
        <v>Error?</v>
      </c>
    </row>
    <row r="619" spans="1:4" x14ac:dyDescent="0.2">
      <c r="A619" s="5">
        <v>558</v>
      </c>
      <c r="B619" s="134">
        <f>'Acct Summary 7-8'!H34</f>
        <v>15099499</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33453464</v>
      </c>
      <c r="D705" s="2" t="str">
        <f t="shared" si="10"/>
        <v>Error?</v>
      </c>
    </row>
    <row r="706" spans="1:4" x14ac:dyDescent="0.2">
      <c r="A706" s="5">
        <v>645</v>
      </c>
      <c r="B706" s="134">
        <f>'Expenditures 15-22'!C16</f>
        <v>537757</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2395715</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218114</v>
      </c>
      <c r="D718" s="2" t="str">
        <f t="shared" si="10"/>
        <v>Error?</v>
      </c>
    </row>
    <row r="719" spans="1:4" x14ac:dyDescent="0.2">
      <c r="A719" s="5">
        <v>658</v>
      </c>
      <c r="B719" s="134">
        <f>'Expenditures 15-22'!C15</f>
        <v>284310</v>
      </c>
      <c r="D719" s="2" t="str">
        <f t="shared" si="10"/>
        <v>Error?</v>
      </c>
    </row>
    <row r="720" spans="1:4" x14ac:dyDescent="0.2">
      <c r="A720" s="5">
        <v>659</v>
      </c>
      <c r="B720" s="134">
        <f>'Expenditures 15-22'!C33</f>
        <v>49998801</v>
      </c>
      <c r="C720" s="2" t="s">
        <v>593</v>
      </c>
      <c r="D720" s="2" t="str">
        <f t="shared" si="10"/>
        <v>Error?</v>
      </c>
    </row>
    <row r="721" spans="1:4" x14ac:dyDescent="0.2">
      <c r="A721" s="5">
        <v>660</v>
      </c>
      <c r="B721" s="134">
        <f>'Expenditures 15-22'!C36</f>
        <v>1715252</v>
      </c>
      <c r="D721" s="2" t="str">
        <f t="shared" si="10"/>
        <v>Error?</v>
      </c>
    </row>
    <row r="722" spans="1:4" x14ac:dyDescent="0.2">
      <c r="A722" s="5">
        <v>661</v>
      </c>
      <c r="B722" s="134">
        <f>'Expenditures 15-22'!C37</f>
        <v>1206439</v>
      </c>
      <c r="D722" s="2" t="str">
        <f t="shared" si="10"/>
        <v>Error?</v>
      </c>
    </row>
    <row r="723" spans="1:4" x14ac:dyDescent="0.2">
      <c r="A723" s="5">
        <v>662</v>
      </c>
      <c r="B723" s="134">
        <f>'Expenditures 15-22'!C38</f>
        <v>502382</v>
      </c>
      <c r="D723" s="2" t="str">
        <f t="shared" si="10"/>
        <v>Error?</v>
      </c>
    </row>
    <row r="724" spans="1:4" x14ac:dyDescent="0.2">
      <c r="A724" s="5">
        <v>663</v>
      </c>
      <c r="B724" s="134">
        <f>'Expenditures 15-22'!C39</f>
        <v>721425</v>
      </c>
      <c r="D724" s="2" t="str">
        <f t="shared" si="10"/>
        <v>Error?</v>
      </c>
    </row>
    <row r="725" spans="1:4" x14ac:dyDescent="0.2">
      <c r="A725" s="5">
        <v>664</v>
      </c>
      <c r="B725" s="134">
        <f>'Expenditures 15-22'!C40</f>
        <v>1377344</v>
      </c>
      <c r="D725" s="2" t="str">
        <f t="shared" si="10"/>
        <v>Error?</v>
      </c>
    </row>
    <row r="726" spans="1:4" x14ac:dyDescent="0.2">
      <c r="A726" s="5">
        <v>665</v>
      </c>
      <c r="B726" s="134">
        <f>'Expenditures 15-22'!C41</f>
        <v>0</v>
      </c>
      <c r="D726" s="2" t="str">
        <f t="shared" si="10"/>
        <v>Error?</v>
      </c>
    </row>
    <row r="727" spans="1:4" x14ac:dyDescent="0.2">
      <c r="A727" s="5">
        <v>666</v>
      </c>
      <c r="B727" s="134">
        <f>'Expenditures 15-22'!C42</f>
        <v>5522842</v>
      </c>
      <c r="C727" s="2" t="s">
        <v>593</v>
      </c>
      <c r="D727" s="2" t="str">
        <f t="shared" si="10"/>
        <v>Error?</v>
      </c>
    </row>
    <row r="728" spans="1:4" x14ac:dyDescent="0.2">
      <c r="A728" s="5">
        <v>667</v>
      </c>
      <c r="B728" s="134">
        <f>'Expenditures 15-22'!C44</f>
        <v>3349788</v>
      </c>
      <c r="D728" s="2" t="str">
        <f t="shared" si="10"/>
        <v>Error?</v>
      </c>
    </row>
    <row r="729" spans="1:4" x14ac:dyDescent="0.2">
      <c r="A729" s="5">
        <v>668</v>
      </c>
      <c r="B729" s="134">
        <f>'Expenditures 15-22'!C45</f>
        <v>1187619</v>
      </c>
      <c r="D729" s="2" t="str">
        <f t="shared" si="10"/>
        <v>Error?</v>
      </c>
    </row>
    <row r="730" spans="1:4" x14ac:dyDescent="0.2">
      <c r="A730" s="5">
        <v>669</v>
      </c>
      <c r="B730" s="134">
        <f>'Expenditures 15-22'!C46</f>
        <v>194701</v>
      </c>
      <c r="D730" s="2" t="str">
        <f t="shared" si="10"/>
        <v>Error?</v>
      </c>
    </row>
    <row r="731" spans="1:4" x14ac:dyDescent="0.2">
      <c r="A731" s="5">
        <v>670</v>
      </c>
      <c r="B731" s="134">
        <f>'Expenditures 15-22'!C47</f>
        <v>4732108</v>
      </c>
      <c r="C731" s="2" t="s">
        <v>593</v>
      </c>
      <c r="D731" s="2" t="str">
        <f t="shared" si="10"/>
        <v>Error?</v>
      </c>
    </row>
    <row r="732" spans="1:4" x14ac:dyDescent="0.2">
      <c r="A732" s="5">
        <v>671</v>
      </c>
      <c r="B732" s="134">
        <f>'Expenditures 15-22'!C49</f>
        <v>34745</v>
      </c>
      <c r="D732" s="2" t="str">
        <f t="shared" si="10"/>
        <v>Error?</v>
      </c>
    </row>
    <row r="733" spans="1:4" x14ac:dyDescent="0.2">
      <c r="A733" s="5">
        <v>672</v>
      </c>
      <c r="B733" s="134">
        <f>'Expenditures 15-22'!C50</f>
        <v>210169</v>
      </c>
      <c r="D733" s="2" t="str">
        <f t="shared" si="10"/>
        <v>Error?</v>
      </c>
    </row>
    <row r="734" spans="1:4" x14ac:dyDescent="0.2">
      <c r="A734" s="5">
        <v>673</v>
      </c>
      <c r="B734" s="134">
        <f>'Expenditures 15-22'!C53</f>
        <v>376652</v>
      </c>
      <c r="C734" s="2" t="s">
        <v>593</v>
      </c>
      <c r="D734" s="2" t="str">
        <f t="shared" si="10"/>
        <v>Error?</v>
      </c>
    </row>
    <row r="735" spans="1:4" x14ac:dyDescent="0.2">
      <c r="A735" s="5">
        <v>674</v>
      </c>
      <c r="B735" s="134">
        <f>'Expenditures 15-22'!C55</f>
        <v>6242321</v>
      </c>
      <c r="D735" s="2" t="str">
        <f t="shared" si="10"/>
        <v>Error?</v>
      </c>
    </row>
    <row r="736" spans="1:4" x14ac:dyDescent="0.2">
      <c r="A736" s="5">
        <v>675</v>
      </c>
      <c r="B736" s="134">
        <f>'Expenditures 15-22'!C56</f>
        <v>0</v>
      </c>
      <c r="D736" s="2" t="str">
        <f t="shared" si="10"/>
        <v>Error?</v>
      </c>
    </row>
    <row r="737" spans="1:4" x14ac:dyDescent="0.2">
      <c r="A737" s="5">
        <v>676</v>
      </c>
      <c r="B737" s="134">
        <f>'Expenditures 15-22'!C57</f>
        <v>6242321</v>
      </c>
      <c r="C737" s="2" t="s">
        <v>593</v>
      </c>
      <c r="D737" s="2" t="str">
        <f t="shared" si="10"/>
        <v>Error?</v>
      </c>
    </row>
    <row r="738" spans="1:4" x14ac:dyDescent="0.2">
      <c r="A738" s="5">
        <v>677</v>
      </c>
      <c r="B738" s="134">
        <f>'Expenditures 15-22'!C59</f>
        <v>147549</v>
      </c>
      <c r="D738" s="2" t="str">
        <f t="shared" si="10"/>
        <v>Error?</v>
      </c>
    </row>
    <row r="739" spans="1:4" x14ac:dyDescent="0.2">
      <c r="A739" s="5">
        <v>678</v>
      </c>
      <c r="B739" s="134">
        <f>'Expenditures 15-22'!C60</f>
        <v>401517</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1347883</v>
      </c>
      <c r="D742" s="2" t="str">
        <f t="shared" si="10"/>
        <v>Error?</v>
      </c>
    </row>
    <row r="743" spans="1:4" x14ac:dyDescent="0.2">
      <c r="A743" s="5">
        <v>682</v>
      </c>
      <c r="B743" s="134">
        <f>'Expenditures 15-22'!C64</f>
        <v>218688</v>
      </c>
      <c r="D743" s="2" t="str">
        <f t="shared" si="10"/>
        <v>Error?</v>
      </c>
    </row>
    <row r="744" spans="1:4" x14ac:dyDescent="0.2">
      <c r="A744" s="10">
        <v>683</v>
      </c>
      <c r="D744" s="2" t="str">
        <f t="shared" si="10"/>
        <v>OK</v>
      </c>
    </row>
    <row r="745" spans="1:4" x14ac:dyDescent="0.2">
      <c r="A745" s="5">
        <v>684</v>
      </c>
      <c r="B745" s="134">
        <f>'Expenditures 15-22'!C65</f>
        <v>2115637</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398752</v>
      </c>
      <c r="D748" s="2" t="str">
        <f t="shared" si="10"/>
        <v>Error?</v>
      </c>
    </row>
    <row r="749" spans="1:4" x14ac:dyDescent="0.2">
      <c r="A749" s="5">
        <v>688</v>
      </c>
      <c r="B749" s="134">
        <f>'Expenditures 15-22'!C70</f>
        <v>510927</v>
      </c>
      <c r="D749" s="2" t="str">
        <f t="shared" si="10"/>
        <v>Error?</v>
      </c>
    </row>
    <row r="750" spans="1:4" x14ac:dyDescent="0.2">
      <c r="A750" s="10">
        <v>689</v>
      </c>
      <c r="D750" s="2" t="str">
        <f t="shared" si="10"/>
        <v>OK</v>
      </c>
    </row>
    <row r="751" spans="1:4" x14ac:dyDescent="0.2">
      <c r="A751" s="5">
        <v>690</v>
      </c>
      <c r="B751" s="134">
        <f>'Expenditures 15-22'!C71</f>
        <v>685815</v>
      </c>
      <c r="D751" s="2" t="str">
        <f t="shared" si="10"/>
        <v>Error?</v>
      </c>
    </row>
    <row r="752" spans="1:4" x14ac:dyDescent="0.2">
      <c r="A752" s="10">
        <v>691</v>
      </c>
      <c r="D752" s="2" t="str">
        <f t="shared" si="10"/>
        <v>OK</v>
      </c>
    </row>
    <row r="753" spans="1:4" x14ac:dyDescent="0.2">
      <c r="A753" s="5">
        <v>692</v>
      </c>
      <c r="B753" s="134">
        <f>'Expenditures 15-22'!C72</f>
        <v>1595494</v>
      </c>
      <c r="C753" s="2" t="s">
        <v>593</v>
      </c>
      <c r="D753" s="2" t="str">
        <f t="shared" si="10"/>
        <v>Error?</v>
      </c>
    </row>
    <row r="754" spans="1:4" x14ac:dyDescent="0.2">
      <c r="A754" s="5">
        <v>693</v>
      </c>
      <c r="B754" s="134">
        <f>'Expenditures 15-22'!C73</f>
        <v>63697</v>
      </c>
      <c r="D754" s="2" t="str">
        <f t="shared" si="10"/>
        <v>Error?</v>
      </c>
    </row>
    <row r="755" spans="1:4" x14ac:dyDescent="0.2">
      <c r="A755" s="5">
        <v>694</v>
      </c>
      <c r="B755" s="134">
        <f>'Expenditures 15-22'!C74</f>
        <v>20648751</v>
      </c>
      <c r="C755" s="2" t="s">
        <v>593</v>
      </c>
      <c r="D755" s="2" t="str">
        <f t="shared" si="10"/>
        <v>Error?</v>
      </c>
    </row>
    <row r="756" spans="1:4" x14ac:dyDescent="0.2">
      <c r="A756" s="5">
        <v>695</v>
      </c>
      <c r="B756" s="134">
        <f>'Expenditures 15-22'!C75</f>
        <v>1150968</v>
      </c>
      <c r="D756" s="2" t="str">
        <f t="shared" si="10"/>
        <v>Error?</v>
      </c>
    </row>
    <row r="757" spans="1:4" x14ac:dyDescent="0.2">
      <c r="A757" s="5">
        <v>696</v>
      </c>
      <c r="B757" s="134">
        <f>'Expenditures 15-22'!C114</f>
        <v>71798520</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8004699</v>
      </c>
      <c r="D763" s="2" t="str">
        <f t="shared" si="10"/>
        <v>Error?</v>
      </c>
    </row>
    <row r="764" spans="1:4" x14ac:dyDescent="0.2">
      <c r="A764" s="5">
        <v>703</v>
      </c>
      <c r="B764" s="134">
        <f>'Expenditures 15-22'!D16</f>
        <v>140364</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569491</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42065</v>
      </c>
      <c r="D776" s="2" t="str">
        <f t="shared" si="11"/>
        <v>Error?</v>
      </c>
    </row>
    <row r="777" spans="1:4" x14ac:dyDescent="0.2">
      <c r="A777" s="5">
        <v>716</v>
      </c>
      <c r="B777" s="134">
        <f>'Expenditures 15-22'!D15</f>
        <v>8644</v>
      </c>
      <c r="D777" s="2" t="str">
        <f t="shared" si="11"/>
        <v>Error?</v>
      </c>
    </row>
    <row r="778" spans="1:4" x14ac:dyDescent="0.2">
      <c r="A778" s="5">
        <v>717</v>
      </c>
      <c r="B778" s="134">
        <f>'Expenditures 15-22'!D33</f>
        <v>12158219</v>
      </c>
      <c r="C778" s="2" t="s">
        <v>593</v>
      </c>
      <c r="D778" s="2" t="str">
        <f t="shared" si="11"/>
        <v>Error?</v>
      </c>
    </row>
    <row r="779" spans="1:4" x14ac:dyDescent="0.2">
      <c r="A779" s="5">
        <v>718</v>
      </c>
      <c r="B779" s="134">
        <f>'Expenditures 15-22'!D36</f>
        <v>377325</v>
      </c>
      <c r="D779" s="2" t="str">
        <f t="shared" si="11"/>
        <v>Error?</v>
      </c>
    </row>
    <row r="780" spans="1:4" x14ac:dyDescent="0.2">
      <c r="A780" s="5">
        <v>719</v>
      </c>
      <c r="B780" s="134">
        <f>'Expenditures 15-22'!D37</f>
        <v>288392</v>
      </c>
      <c r="D780" s="2" t="str">
        <f t="shared" si="11"/>
        <v>Error?</v>
      </c>
    </row>
    <row r="781" spans="1:4" x14ac:dyDescent="0.2">
      <c r="A781" s="5">
        <v>720</v>
      </c>
      <c r="B781" s="134">
        <f>'Expenditures 15-22'!D38</f>
        <v>83863</v>
      </c>
      <c r="D781" s="2" t="str">
        <f t="shared" si="11"/>
        <v>Error?</v>
      </c>
    </row>
    <row r="782" spans="1:4" x14ac:dyDescent="0.2">
      <c r="A782" s="5">
        <v>721</v>
      </c>
      <c r="B782" s="134">
        <f>'Expenditures 15-22'!D39</f>
        <v>156555</v>
      </c>
      <c r="D782" s="2" t="str">
        <f t="shared" si="11"/>
        <v>Error?</v>
      </c>
    </row>
    <row r="783" spans="1:4" x14ac:dyDescent="0.2">
      <c r="A783" s="5">
        <v>722</v>
      </c>
      <c r="B783" s="134">
        <f>'Expenditures 15-22'!D40</f>
        <v>336780</v>
      </c>
      <c r="D783" s="2" t="str">
        <f t="shared" si="11"/>
        <v>Error?</v>
      </c>
    </row>
    <row r="784" spans="1:4" x14ac:dyDescent="0.2">
      <c r="A784" s="5">
        <v>723</v>
      </c>
      <c r="B784" s="134">
        <f>'Expenditures 15-22'!D41</f>
        <v>0</v>
      </c>
      <c r="D784" s="2" t="str">
        <f t="shared" si="11"/>
        <v>Error?</v>
      </c>
    </row>
    <row r="785" spans="1:4" x14ac:dyDescent="0.2">
      <c r="A785" s="5">
        <v>724</v>
      </c>
      <c r="B785" s="134">
        <f>'Expenditures 15-22'!D42</f>
        <v>1242915</v>
      </c>
      <c r="C785" s="2" t="s">
        <v>593</v>
      </c>
      <c r="D785" s="2" t="str">
        <f t="shared" si="11"/>
        <v>Error?</v>
      </c>
    </row>
    <row r="786" spans="1:4" x14ac:dyDescent="0.2">
      <c r="A786" s="5">
        <v>725</v>
      </c>
      <c r="B786" s="134">
        <f>'Expenditures 15-22'!D44</f>
        <v>630605</v>
      </c>
      <c r="D786" s="2" t="str">
        <f t="shared" si="11"/>
        <v>Error?</v>
      </c>
    </row>
    <row r="787" spans="1:4" x14ac:dyDescent="0.2">
      <c r="A787" s="5">
        <v>726</v>
      </c>
      <c r="B787" s="134">
        <f>'Expenditures 15-22'!D45</f>
        <v>278126</v>
      </c>
      <c r="D787" s="2" t="str">
        <f t="shared" si="11"/>
        <v>Error?</v>
      </c>
    </row>
    <row r="788" spans="1:4" x14ac:dyDescent="0.2">
      <c r="A788" s="5">
        <v>727</v>
      </c>
      <c r="B788" s="134">
        <f>'Expenditures 15-22'!D46</f>
        <v>41608</v>
      </c>
      <c r="D788" s="2" t="str">
        <f t="shared" si="11"/>
        <v>Error?</v>
      </c>
    </row>
    <row r="789" spans="1:4" x14ac:dyDescent="0.2">
      <c r="A789" s="5">
        <v>728</v>
      </c>
      <c r="B789" s="134">
        <f>'Expenditures 15-22'!D47</f>
        <v>950339</v>
      </c>
      <c r="C789" s="2" t="s">
        <v>593</v>
      </c>
      <c r="D789" s="2" t="str">
        <f t="shared" si="11"/>
        <v>Error?</v>
      </c>
    </row>
    <row r="790" spans="1:4" x14ac:dyDescent="0.2">
      <c r="A790" s="5">
        <v>729</v>
      </c>
      <c r="B790" s="134">
        <f>'Expenditures 15-22'!D49</f>
        <v>51589</v>
      </c>
      <c r="D790" s="2" t="str">
        <f t="shared" si="11"/>
        <v>Error?</v>
      </c>
    </row>
    <row r="791" spans="1:4" x14ac:dyDescent="0.2">
      <c r="A791" s="5">
        <v>730</v>
      </c>
      <c r="B791" s="134">
        <f>'Expenditures 15-22'!D50</f>
        <v>49258</v>
      </c>
      <c r="D791" s="2" t="str">
        <f t="shared" si="11"/>
        <v>Error?</v>
      </c>
    </row>
    <row r="792" spans="1:4" x14ac:dyDescent="0.2">
      <c r="A792" s="5">
        <v>731</v>
      </c>
      <c r="B792" s="134">
        <f>'Expenditures 15-22'!D53</f>
        <v>121862</v>
      </c>
      <c r="C792" s="2" t="s">
        <v>593</v>
      </c>
      <c r="D792" s="2" t="str">
        <f t="shared" si="11"/>
        <v>Error?</v>
      </c>
    </row>
    <row r="793" spans="1:4" x14ac:dyDescent="0.2">
      <c r="A793" s="5">
        <v>732</v>
      </c>
      <c r="B793" s="134">
        <f>'Expenditures 15-22'!D55</f>
        <v>1394420</v>
      </c>
      <c r="D793" s="2" t="str">
        <f t="shared" si="11"/>
        <v>Error?</v>
      </c>
    </row>
    <row r="794" spans="1:4" x14ac:dyDescent="0.2">
      <c r="A794" s="5">
        <v>733</v>
      </c>
      <c r="B794" s="134">
        <f>'Expenditures 15-22'!D56</f>
        <v>0</v>
      </c>
      <c r="D794" s="2" t="str">
        <f t="shared" si="11"/>
        <v>Error?</v>
      </c>
    </row>
    <row r="795" spans="1:4" x14ac:dyDescent="0.2">
      <c r="A795" s="5">
        <v>734</v>
      </c>
      <c r="B795" s="134">
        <f>'Expenditures 15-22'!D57</f>
        <v>1394420</v>
      </c>
      <c r="C795" s="2" t="s">
        <v>593</v>
      </c>
      <c r="D795" s="2" t="str">
        <f t="shared" si="11"/>
        <v>Error?</v>
      </c>
    </row>
    <row r="796" spans="1:4" x14ac:dyDescent="0.2">
      <c r="A796" s="5">
        <v>735</v>
      </c>
      <c r="B796" s="134">
        <f>'Expenditures 15-22'!D59</f>
        <v>13393</v>
      </c>
      <c r="D796" s="2" t="str">
        <f t="shared" si="11"/>
        <v>Error?</v>
      </c>
    </row>
    <row r="797" spans="1:4" x14ac:dyDescent="0.2">
      <c r="A797" s="5">
        <v>736</v>
      </c>
      <c r="B797" s="134">
        <f>'Expenditures 15-22'!D60</f>
        <v>68387</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257132</v>
      </c>
      <c r="D800" s="2" t="str">
        <f t="shared" si="11"/>
        <v>Error?</v>
      </c>
    </row>
    <row r="801" spans="1:4" x14ac:dyDescent="0.2">
      <c r="A801" s="5">
        <v>740</v>
      </c>
      <c r="B801" s="134">
        <f>'Expenditures 15-22'!D64</f>
        <v>41880</v>
      </c>
      <c r="D801" s="2" t="str">
        <f t="shared" si="11"/>
        <v>Error?</v>
      </c>
    </row>
    <row r="802" spans="1:4" x14ac:dyDescent="0.2">
      <c r="A802" s="10">
        <v>741</v>
      </c>
      <c r="D802" s="2" t="str">
        <f t="shared" si="11"/>
        <v>OK</v>
      </c>
    </row>
    <row r="803" spans="1:4" x14ac:dyDescent="0.2">
      <c r="A803" s="5">
        <v>742</v>
      </c>
      <c r="B803" s="134">
        <f>'Expenditures 15-22'!D65</f>
        <v>380792</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88063</v>
      </c>
      <c r="D806" s="2" t="str">
        <f t="shared" si="11"/>
        <v>Error?</v>
      </c>
    </row>
    <row r="807" spans="1:4" x14ac:dyDescent="0.2">
      <c r="A807" s="5">
        <v>746</v>
      </c>
      <c r="B807" s="134">
        <f>'Expenditures 15-22'!D70</f>
        <v>88054</v>
      </c>
      <c r="D807" s="2" t="str">
        <f t="shared" si="11"/>
        <v>Error?</v>
      </c>
    </row>
    <row r="808" spans="1:4" x14ac:dyDescent="0.2">
      <c r="A808" s="10">
        <v>747</v>
      </c>
      <c r="D808" s="2" t="str">
        <f t="shared" si="11"/>
        <v>OK</v>
      </c>
    </row>
    <row r="809" spans="1:4" x14ac:dyDescent="0.2">
      <c r="A809" s="5">
        <v>748</v>
      </c>
      <c r="B809" s="134">
        <f>'Expenditures 15-22'!D71</f>
        <v>102058</v>
      </c>
      <c r="D809" s="2" t="str">
        <f t="shared" si="11"/>
        <v>Error?</v>
      </c>
    </row>
    <row r="810" spans="1:4" x14ac:dyDescent="0.2">
      <c r="A810" s="10">
        <v>749</v>
      </c>
      <c r="D810" s="2" t="str">
        <f t="shared" si="11"/>
        <v>OK</v>
      </c>
    </row>
    <row r="811" spans="1:4" x14ac:dyDescent="0.2">
      <c r="A811" s="5">
        <v>750</v>
      </c>
      <c r="B811" s="134">
        <f>'Expenditures 15-22'!D72</f>
        <v>278175</v>
      </c>
      <c r="C811" s="2" t="s">
        <v>593</v>
      </c>
      <c r="D811" s="2" t="str">
        <f t="shared" si="11"/>
        <v>Error?</v>
      </c>
    </row>
    <row r="812" spans="1:4" x14ac:dyDescent="0.2">
      <c r="A812" s="5">
        <v>751</v>
      </c>
      <c r="B812" s="134">
        <f>'Expenditures 15-22'!D73</f>
        <v>10152</v>
      </c>
      <c r="D812" s="2" t="str">
        <f t="shared" si="11"/>
        <v>Error?</v>
      </c>
    </row>
    <row r="813" spans="1:4" x14ac:dyDescent="0.2">
      <c r="A813" s="5">
        <v>752</v>
      </c>
      <c r="B813" s="134">
        <f>'Expenditures 15-22'!D74</f>
        <v>4378655</v>
      </c>
      <c r="C813" s="2" t="s">
        <v>593</v>
      </c>
      <c r="D813" s="2" t="str">
        <f t="shared" si="11"/>
        <v>Error?</v>
      </c>
    </row>
    <row r="814" spans="1:4" x14ac:dyDescent="0.2">
      <c r="A814" s="5">
        <v>753</v>
      </c>
      <c r="B814" s="134">
        <f>'Expenditures 15-22'!D75</f>
        <v>139265</v>
      </c>
      <c r="D814" s="2" t="str">
        <f t="shared" si="11"/>
        <v>Error?</v>
      </c>
    </row>
    <row r="815" spans="1:4" x14ac:dyDescent="0.2">
      <c r="A815" s="5">
        <v>754</v>
      </c>
      <c r="B815" s="134">
        <f>'Expenditures 15-22'!D114</f>
        <v>16676139</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254352</v>
      </c>
      <c r="D821" s="2" t="str">
        <f t="shared" si="11"/>
        <v>Error?</v>
      </c>
    </row>
    <row r="822" spans="1:4" x14ac:dyDescent="0.2">
      <c r="A822" s="5">
        <v>761</v>
      </c>
      <c r="B822" s="134">
        <f>'Expenditures 15-22'!E16</f>
        <v>3720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38320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9303</v>
      </c>
      <c r="D833" s="2" t="str">
        <f t="shared" si="12"/>
        <v>Error?</v>
      </c>
    </row>
    <row r="834" spans="1:4" x14ac:dyDescent="0.2">
      <c r="A834" s="5">
        <v>773</v>
      </c>
      <c r="B834" s="134">
        <f>'Expenditures 15-22'!E14</f>
        <v>209725</v>
      </c>
      <c r="D834" s="2" t="str">
        <f t="shared" si="12"/>
        <v>Error?</v>
      </c>
    </row>
    <row r="835" spans="1:4" x14ac:dyDescent="0.2">
      <c r="A835" s="5">
        <v>774</v>
      </c>
      <c r="B835" s="134">
        <f>'Expenditures 15-22'!E15</f>
        <v>2580</v>
      </c>
      <c r="D835" s="2" t="str">
        <f t="shared" si="12"/>
        <v>Error?</v>
      </c>
    </row>
    <row r="836" spans="1:4" x14ac:dyDescent="0.2">
      <c r="A836" s="5">
        <v>775</v>
      </c>
      <c r="B836" s="134">
        <f>'Expenditures 15-22'!E33</f>
        <v>1408508</v>
      </c>
      <c r="C836" s="2" t="s">
        <v>593</v>
      </c>
      <c r="D836" s="2" t="str">
        <f t="shared" si="12"/>
        <v>Error?</v>
      </c>
    </row>
    <row r="837" spans="1:4" x14ac:dyDescent="0.2">
      <c r="A837" s="5">
        <v>776</v>
      </c>
      <c r="B837" s="134">
        <f>'Expenditures 15-22'!E36</f>
        <v>7534</v>
      </c>
      <c r="D837" s="2" t="str">
        <f t="shared" si="12"/>
        <v>Error?</v>
      </c>
    </row>
    <row r="838" spans="1:4" x14ac:dyDescent="0.2">
      <c r="A838" s="5">
        <v>777</v>
      </c>
      <c r="B838" s="134">
        <f>'Expenditures 15-22'!E37</f>
        <v>4408</v>
      </c>
      <c r="D838" s="2" t="str">
        <f t="shared" si="12"/>
        <v>Error?</v>
      </c>
    </row>
    <row r="839" spans="1:4" x14ac:dyDescent="0.2">
      <c r="A839" s="5">
        <v>778</v>
      </c>
      <c r="B839" s="134">
        <f>'Expenditures 15-22'!E38</f>
        <v>8158</v>
      </c>
      <c r="D839" s="2" t="str">
        <f t="shared" si="12"/>
        <v>Error?</v>
      </c>
    </row>
    <row r="840" spans="1:4" x14ac:dyDescent="0.2">
      <c r="A840" s="5">
        <v>779</v>
      </c>
      <c r="B840" s="134">
        <f>'Expenditures 15-22'!E39</f>
        <v>12444</v>
      </c>
      <c r="D840" s="2" t="str">
        <f t="shared" si="12"/>
        <v>Error?</v>
      </c>
    </row>
    <row r="841" spans="1:4" x14ac:dyDescent="0.2">
      <c r="A841" s="5">
        <v>780</v>
      </c>
      <c r="B841" s="134">
        <f>'Expenditures 15-22'!E40</f>
        <v>136460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169004</v>
      </c>
      <c r="C843" s="2" t="s">
        <v>593</v>
      </c>
      <c r="D843" s="2" t="str">
        <f t="shared" si="12"/>
        <v>Error?</v>
      </c>
    </row>
    <row r="844" spans="1:4" x14ac:dyDescent="0.2">
      <c r="A844" s="5">
        <v>783</v>
      </c>
      <c r="B844" s="134">
        <f>'Expenditures 15-22'!E44</f>
        <v>1063887</v>
      </c>
      <c r="D844" s="2" t="str">
        <f t="shared" si="12"/>
        <v>Error?</v>
      </c>
    </row>
    <row r="845" spans="1:4" x14ac:dyDescent="0.2">
      <c r="A845" s="5">
        <v>784</v>
      </c>
      <c r="B845" s="134">
        <f>'Expenditures 15-22'!E45</f>
        <v>31417</v>
      </c>
      <c r="D845" s="2" t="str">
        <f t="shared" si="12"/>
        <v>Error?</v>
      </c>
    </row>
    <row r="846" spans="1:4" x14ac:dyDescent="0.2">
      <c r="A846" s="5">
        <v>785</v>
      </c>
      <c r="B846" s="134">
        <f>'Expenditures 15-22'!E46</f>
        <v>152359</v>
      </c>
      <c r="D846" s="2" t="str">
        <f t="shared" si="12"/>
        <v>Error?</v>
      </c>
    </row>
    <row r="847" spans="1:4" x14ac:dyDescent="0.2">
      <c r="A847" s="5">
        <v>786</v>
      </c>
      <c r="B847" s="134">
        <f>'Expenditures 15-22'!E47</f>
        <v>1247663</v>
      </c>
      <c r="C847" s="2" t="s">
        <v>593</v>
      </c>
      <c r="D847" s="2" t="str">
        <f t="shared" si="12"/>
        <v>Error?</v>
      </c>
    </row>
    <row r="848" spans="1:4" x14ac:dyDescent="0.2">
      <c r="A848" s="5">
        <v>787</v>
      </c>
      <c r="B848" s="134">
        <f>'Expenditures 15-22'!E49</f>
        <v>312284</v>
      </c>
      <c r="D848" s="2" t="str">
        <f t="shared" si="12"/>
        <v>Error?</v>
      </c>
    </row>
    <row r="849" spans="1:4" x14ac:dyDescent="0.2">
      <c r="A849" s="5">
        <v>788</v>
      </c>
      <c r="B849" s="134">
        <f>'Expenditures 15-22'!E50</f>
        <v>172661</v>
      </c>
      <c r="D849" s="2" t="str">
        <f t="shared" si="12"/>
        <v>Error?</v>
      </c>
    </row>
    <row r="850" spans="1:4" x14ac:dyDescent="0.2">
      <c r="A850" s="5">
        <v>789</v>
      </c>
      <c r="B850" s="134">
        <f>'Expenditures 15-22'!E53</f>
        <v>501098</v>
      </c>
      <c r="C850" s="2" t="s">
        <v>593</v>
      </c>
      <c r="D850" s="2" t="str">
        <f t="shared" si="12"/>
        <v>Error?</v>
      </c>
    </row>
    <row r="851" spans="1:4" x14ac:dyDescent="0.2">
      <c r="A851" s="5">
        <v>790</v>
      </c>
      <c r="B851" s="134">
        <f>'Expenditures 15-22'!E55</f>
        <v>86476</v>
      </c>
      <c r="D851" s="2" t="str">
        <f t="shared" si="12"/>
        <v>Error?</v>
      </c>
    </row>
    <row r="852" spans="1:4" x14ac:dyDescent="0.2">
      <c r="A852" s="5">
        <v>791</v>
      </c>
      <c r="B852" s="134">
        <f>'Expenditures 15-22'!E56</f>
        <v>0</v>
      </c>
      <c r="D852" s="2" t="str">
        <f t="shared" si="12"/>
        <v>Error?</v>
      </c>
    </row>
    <row r="853" spans="1:4" x14ac:dyDescent="0.2">
      <c r="A853" s="5">
        <v>792</v>
      </c>
      <c r="B853" s="134">
        <f>'Expenditures 15-22'!E57</f>
        <v>86476</v>
      </c>
      <c r="C853" s="2" t="s">
        <v>593</v>
      </c>
      <c r="D853" s="2" t="str">
        <f t="shared" si="12"/>
        <v>Error?</v>
      </c>
    </row>
    <row r="854" spans="1:4" x14ac:dyDescent="0.2">
      <c r="A854" s="5">
        <v>793</v>
      </c>
      <c r="B854" s="134">
        <f>'Expenditures 15-22'!E59</f>
        <v>0</v>
      </c>
      <c r="D854" s="2" t="str">
        <f t="shared" si="12"/>
        <v>Error?</v>
      </c>
    </row>
    <row r="855" spans="1:4" x14ac:dyDescent="0.2">
      <c r="A855" s="5">
        <v>794</v>
      </c>
      <c r="B855" s="134">
        <f>'Expenditures 15-22'!E60</f>
        <v>6796</v>
      </c>
      <c r="D855" s="2" t="str">
        <f t="shared" si="12"/>
        <v>Error?</v>
      </c>
    </row>
    <row r="856" spans="1:4" x14ac:dyDescent="0.2">
      <c r="A856" s="5">
        <v>795</v>
      </c>
      <c r="B856" s="134">
        <f>'Expenditures 15-22'!E61</f>
        <v>90958</v>
      </c>
      <c r="D856" s="2" t="str">
        <f t="shared" si="12"/>
        <v>Error?</v>
      </c>
    </row>
    <row r="857" spans="1:4" x14ac:dyDescent="0.2">
      <c r="A857" s="5">
        <v>796</v>
      </c>
      <c r="B857" s="134">
        <f>'Expenditures 15-22'!E62</f>
        <v>618082</v>
      </c>
      <c r="D857" s="2" t="str">
        <f t="shared" si="12"/>
        <v>Error?</v>
      </c>
    </row>
    <row r="858" spans="1:4" x14ac:dyDescent="0.2">
      <c r="A858" s="5">
        <v>797</v>
      </c>
      <c r="B858" s="134">
        <f>'Expenditures 15-22'!E63</f>
        <v>368025</v>
      </c>
      <c r="D858" s="2" t="str">
        <f t="shared" si="12"/>
        <v>Error?</v>
      </c>
    </row>
    <row r="859" spans="1:4" x14ac:dyDescent="0.2">
      <c r="A859" s="5">
        <v>798</v>
      </c>
      <c r="B859" s="134">
        <f>'Expenditures 15-22'!E64</f>
        <v>761</v>
      </c>
      <c r="D859" s="2" t="str">
        <f t="shared" si="12"/>
        <v>Error?</v>
      </c>
    </row>
    <row r="860" spans="1:4" x14ac:dyDescent="0.2">
      <c r="A860" s="10">
        <v>799</v>
      </c>
      <c r="D860" s="2" t="str">
        <f t="shared" si="12"/>
        <v>OK</v>
      </c>
    </row>
    <row r="861" spans="1:4" x14ac:dyDescent="0.2">
      <c r="A861" s="5">
        <v>800</v>
      </c>
      <c r="B861" s="134">
        <f>'Expenditures 15-22'!E65</f>
        <v>1084622</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112130</v>
      </c>
      <c r="D864" s="2" t="str">
        <f t="shared" si="12"/>
        <v>Error?</v>
      </c>
    </row>
    <row r="865" spans="1:4" x14ac:dyDescent="0.2">
      <c r="A865" s="5">
        <v>804</v>
      </c>
      <c r="B865" s="134">
        <f>'Expenditures 15-22'!E70</f>
        <v>133850</v>
      </c>
      <c r="D865" s="2" t="str">
        <f t="shared" si="12"/>
        <v>Error?</v>
      </c>
    </row>
    <row r="866" spans="1:4" x14ac:dyDescent="0.2">
      <c r="A866" s="10">
        <v>805</v>
      </c>
      <c r="D866" s="2" t="str">
        <f t="shared" si="12"/>
        <v>OK</v>
      </c>
    </row>
    <row r="867" spans="1:4" x14ac:dyDescent="0.2">
      <c r="A867" s="5">
        <v>806</v>
      </c>
      <c r="B867" s="134">
        <f>'Expenditures 15-22'!E71</f>
        <v>1613899</v>
      </c>
      <c r="D867" s="2" t="str">
        <f t="shared" si="12"/>
        <v>Error?</v>
      </c>
    </row>
    <row r="868" spans="1:4" x14ac:dyDescent="0.2">
      <c r="A868" s="10">
        <v>807</v>
      </c>
      <c r="D868" s="2" t="str">
        <f t="shared" si="12"/>
        <v>OK</v>
      </c>
    </row>
    <row r="869" spans="1:4" x14ac:dyDescent="0.2">
      <c r="A869" s="5">
        <v>808</v>
      </c>
      <c r="B869" s="134">
        <f>'Expenditures 15-22'!E72</f>
        <v>1859879</v>
      </c>
      <c r="C869" s="2" t="s">
        <v>593</v>
      </c>
      <c r="D869" s="2" t="str">
        <f t="shared" si="12"/>
        <v>Error?</v>
      </c>
    </row>
    <row r="870" spans="1:4" x14ac:dyDescent="0.2">
      <c r="A870" s="5">
        <v>809</v>
      </c>
      <c r="B870" s="134">
        <f>'Expenditures 15-22'!E73</f>
        <v>2643</v>
      </c>
      <c r="D870" s="2" t="str">
        <f t="shared" si="12"/>
        <v>Error?</v>
      </c>
    </row>
    <row r="871" spans="1:4" x14ac:dyDescent="0.2">
      <c r="A871" s="5">
        <v>810</v>
      </c>
      <c r="B871" s="134">
        <f>'Expenditures 15-22'!E74</f>
        <v>4951385</v>
      </c>
      <c r="C871" s="2" t="s">
        <v>593</v>
      </c>
      <c r="D871" s="2" t="str">
        <f t="shared" si="12"/>
        <v>Error?</v>
      </c>
    </row>
    <row r="872" spans="1:4" x14ac:dyDescent="0.2">
      <c r="A872" s="5">
        <v>811</v>
      </c>
      <c r="B872" s="134">
        <f>'Expenditures 15-22'!E75</f>
        <v>161305</v>
      </c>
      <c r="D872" s="2" t="str">
        <f t="shared" si="12"/>
        <v>Error?</v>
      </c>
    </row>
    <row r="873" spans="1:4" x14ac:dyDescent="0.2">
      <c r="A873" s="5">
        <v>812</v>
      </c>
      <c r="B873" s="134">
        <f>'Expenditures 15-22'!E114</f>
        <v>6521278</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1362558</v>
      </c>
      <c r="D879" s="2" t="str">
        <f t="shared" si="12"/>
        <v>Error?</v>
      </c>
    </row>
    <row r="880" spans="1:4" x14ac:dyDescent="0.2">
      <c r="A880" s="5">
        <v>819</v>
      </c>
      <c r="B880" s="134">
        <f>'Expenditures 15-22'!F16</f>
        <v>13173</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164805</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143909</v>
      </c>
      <c r="D892" s="2" t="str">
        <f t="shared" si="12"/>
        <v>Error?</v>
      </c>
    </row>
    <row r="893" spans="1:4" x14ac:dyDescent="0.2">
      <c r="A893" s="5">
        <v>832</v>
      </c>
      <c r="B893" s="134">
        <f>'Expenditures 15-22'!F15</f>
        <v>14876</v>
      </c>
      <c r="D893" s="2" t="str">
        <f t="shared" si="12"/>
        <v>Error?</v>
      </c>
    </row>
    <row r="894" spans="1:4" x14ac:dyDescent="0.2">
      <c r="A894" s="5">
        <v>833</v>
      </c>
      <c r="B894" s="134">
        <f>'Expenditures 15-22'!F33</f>
        <v>2092464</v>
      </c>
      <c r="C894" s="2" t="s">
        <v>593</v>
      </c>
      <c r="D894" s="2" t="str">
        <f t="shared" si="12"/>
        <v>Error?</v>
      </c>
    </row>
    <row r="895" spans="1:4" x14ac:dyDescent="0.2">
      <c r="A895" s="5">
        <v>834</v>
      </c>
      <c r="B895" s="134">
        <f>'Expenditures 15-22'!F36</f>
        <v>19352</v>
      </c>
      <c r="D895" s="2" t="str">
        <f t="shared" ref="D895:D958" si="13">IF(ISBLANK(B895),"OK",IF(A895-B895=0,"OK","Error?"))</f>
        <v>Error?</v>
      </c>
    </row>
    <row r="896" spans="1:4" x14ac:dyDescent="0.2">
      <c r="A896" s="5">
        <v>835</v>
      </c>
      <c r="B896" s="134">
        <f>'Expenditures 15-22'!F37</f>
        <v>3449</v>
      </c>
      <c r="D896" s="2" t="str">
        <f t="shared" si="13"/>
        <v>Error?</v>
      </c>
    </row>
    <row r="897" spans="1:4" x14ac:dyDescent="0.2">
      <c r="A897" s="5">
        <v>836</v>
      </c>
      <c r="B897" s="134">
        <f>'Expenditures 15-22'!F38</f>
        <v>21541</v>
      </c>
      <c r="D897" s="2" t="str">
        <f t="shared" si="13"/>
        <v>Error?</v>
      </c>
    </row>
    <row r="898" spans="1:4" x14ac:dyDescent="0.2">
      <c r="A898" s="5">
        <v>837</v>
      </c>
      <c r="B898" s="134">
        <f>'Expenditures 15-22'!F39</f>
        <v>6414</v>
      </c>
      <c r="D898" s="2" t="str">
        <f t="shared" si="13"/>
        <v>Error?</v>
      </c>
    </row>
    <row r="899" spans="1:4" x14ac:dyDescent="0.2">
      <c r="A899" s="5">
        <v>838</v>
      </c>
      <c r="B899" s="134">
        <f>'Expenditures 15-22'!F40</f>
        <v>4655</v>
      </c>
      <c r="D899" s="2" t="str">
        <f t="shared" si="13"/>
        <v>Error?</v>
      </c>
    </row>
    <row r="900" spans="1:4" x14ac:dyDescent="0.2">
      <c r="A900" s="5">
        <v>839</v>
      </c>
      <c r="B900" s="134">
        <f>'Expenditures 15-22'!F41</f>
        <v>0</v>
      </c>
      <c r="D900" s="2" t="str">
        <f t="shared" si="13"/>
        <v>Error?</v>
      </c>
    </row>
    <row r="901" spans="1:4" x14ac:dyDescent="0.2">
      <c r="A901" s="5">
        <v>840</v>
      </c>
      <c r="B901" s="134">
        <f>'Expenditures 15-22'!F42</f>
        <v>55411</v>
      </c>
      <c r="C901" s="2" t="s">
        <v>593</v>
      </c>
      <c r="D901" s="2" t="str">
        <f t="shared" si="13"/>
        <v>Error?</v>
      </c>
    </row>
    <row r="902" spans="1:4" x14ac:dyDescent="0.2">
      <c r="A902" s="5">
        <v>841</v>
      </c>
      <c r="B902" s="134">
        <f>'Expenditures 15-22'!F44</f>
        <v>530740</v>
      </c>
      <c r="D902" s="2" t="str">
        <f t="shared" si="13"/>
        <v>Error?</v>
      </c>
    </row>
    <row r="903" spans="1:4" x14ac:dyDescent="0.2">
      <c r="A903" s="5">
        <v>842</v>
      </c>
      <c r="B903" s="134">
        <f>'Expenditures 15-22'!F45</f>
        <v>124605</v>
      </c>
      <c r="D903" s="2" t="str">
        <f t="shared" si="13"/>
        <v>Error?</v>
      </c>
    </row>
    <row r="904" spans="1:4" x14ac:dyDescent="0.2">
      <c r="A904" s="5">
        <v>843</v>
      </c>
      <c r="B904" s="134">
        <f>'Expenditures 15-22'!F46</f>
        <v>14346</v>
      </c>
      <c r="D904" s="2" t="str">
        <f t="shared" si="13"/>
        <v>Error?</v>
      </c>
    </row>
    <row r="905" spans="1:4" x14ac:dyDescent="0.2">
      <c r="A905" s="5">
        <v>844</v>
      </c>
      <c r="B905" s="134">
        <f>'Expenditures 15-22'!F47</f>
        <v>669691</v>
      </c>
      <c r="C905" s="2" t="s">
        <v>593</v>
      </c>
      <c r="D905" s="2" t="str">
        <f t="shared" si="13"/>
        <v>Error?</v>
      </c>
    </row>
    <row r="906" spans="1:4" x14ac:dyDescent="0.2">
      <c r="A906" s="5">
        <v>845</v>
      </c>
      <c r="B906" s="134">
        <f>'Expenditures 15-22'!F49</f>
        <v>35447</v>
      </c>
      <c r="D906" s="2" t="str">
        <f t="shared" si="13"/>
        <v>Error?</v>
      </c>
    </row>
    <row r="907" spans="1:4" x14ac:dyDescent="0.2">
      <c r="A907" s="5">
        <v>846</v>
      </c>
      <c r="B907" s="134">
        <f>'Expenditures 15-22'!F50</f>
        <v>17979</v>
      </c>
      <c r="D907" s="2" t="str">
        <f t="shared" si="13"/>
        <v>Error?</v>
      </c>
    </row>
    <row r="908" spans="1:4" x14ac:dyDescent="0.2">
      <c r="A908" s="5">
        <v>847</v>
      </c>
      <c r="B908" s="134">
        <f>'Expenditures 15-22'!F53</f>
        <v>59998</v>
      </c>
      <c r="C908" s="2" t="s">
        <v>593</v>
      </c>
      <c r="D908" s="2" t="str">
        <f t="shared" si="13"/>
        <v>Error?</v>
      </c>
    </row>
    <row r="909" spans="1:4" x14ac:dyDescent="0.2">
      <c r="A909" s="5">
        <v>848</v>
      </c>
      <c r="B909" s="134">
        <f>'Expenditures 15-22'!F55</f>
        <v>255710</v>
      </c>
      <c r="D909" s="2" t="str">
        <f t="shared" si="13"/>
        <v>Error?</v>
      </c>
    </row>
    <row r="910" spans="1:4" x14ac:dyDescent="0.2">
      <c r="A910" s="5">
        <v>849</v>
      </c>
      <c r="B910" s="134">
        <f>'Expenditures 15-22'!F56</f>
        <v>0</v>
      </c>
      <c r="D910" s="2" t="str">
        <f t="shared" si="13"/>
        <v>Error?</v>
      </c>
    </row>
    <row r="911" spans="1:4" x14ac:dyDescent="0.2">
      <c r="A911" s="5">
        <v>850</v>
      </c>
      <c r="B911" s="134">
        <f>'Expenditures 15-22'!F57</f>
        <v>255710</v>
      </c>
      <c r="C911" s="2" t="s">
        <v>593</v>
      </c>
      <c r="D911" s="2" t="str">
        <f t="shared" si="13"/>
        <v>Error?</v>
      </c>
    </row>
    <row r="912" spans="1:4" x14ac:dyDescent="0.2">
      <c r="A912" s="5">
        <v>851</v>
      </c>
      <c r="B912" s="134">
        <f>'Expenditures 15-22'!F59</f>
        <v>0</v>
      </c>
      <c r="D912" s="2" t="str">
        <f t="shared" si="13"/>
        <v>Error?</v>
      </c>
    </row>
    <row r="913" spans="1:4" x14ac:dyDescent="0.2">
      <c r="A913" s="5">
        <v>852</v>
      </c>
      <c r="B913" s="134">
        <f>'Expenditures 15-22'!F60</f>
        <v>12851</v>
      </c>
      <c r="D913" s="2" t="str">
        <f t="shared" si="13"/>
        <v>Error?</v>
      </c>
    </row>
    <row r="914" spans="1:4" x14ac:dyDescent="0.2">
      <c r="A914" s="5">
        <v>853</v>
      </c>
      <c r="B914" s="134">
        <f>'Expenditures 15-22'!F61</f>
        <v>22</v>
      </c>
      <c r="D914" s="2" t="str">
        <f t="shared" si="13"/>
        <v>Error?</v>
      </c>
    </row>
    <row r="915" spans="1:4" x14ac:dyDescent="0.2">
      <c r="A915" s="5">
        <v>854</v>
      </c>
      <c r="B915" s="134">
        <f>'Expenditures 15-22'!F62</f>
        <v>0</v>
      </c>
      <c r="D915" s="2" t="str">
        <f t="shared" si="13"/>
        <v>Error?</v>
      </c>
    </row>
    <row r="916" spans="1:4" x14ac:dyDescent="0.2">
      <c r="A916" s="5">
        <v>855</v>
      </c>
      <c r="B916" s="134">
        <f>'Expenditures 15-22'!F63</f>
        <v>2040259</v>
      </c>
      <c r="D916" s="2" t="str">
        <f t="shared" si="13"/>
        <v>Error?</v>
      </c>
    </row>
    <row r="917" spans="1:4" x14ac:dyDescent="0.2">
      <c r="A917" s="5">
        <v>856</v>
      </c>
      <c r="B917" s="134">
        <f>'Expenditures 15-22'!F64</f>
        <v>5374</v>
      </c>
      <c r="D917" s="2" t="str">
        <f t="shared" si="13"/>
        <v>Error?</v>
      </c>
    </row>
    <row r="918" spans="1:4" x14ac:dyDescent="0.2">
      <c r="A918" s="10">
        <v>857</v>
      </c>
      <c r="D918" s="2" t="str">
        <f t="shared" si="13"/>
        <v>OK</v>
      </c>
    </row>
    <row r="919" spans="1:4" x14ac:dyDescent="0.2">
      <c r="A919" s="5">
        <v>858</v>
      </c>
      <c r="B919" s="134">
        <f>'Expenditures 15-22'!F65</f>
        <v>2058506</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14812</v>
      </c>
      <c r="D922" s="2" t="str">
        <f t="shared" si="13"/>
        <v>Error?</v>
      </c>
    </row>
    <row r="923" spans="1:4" x14ac:dyDescent="0.2">
      <c r="A923" s="5">
        <v>862</v>
      </c>
      <c r="B923" s="134">
        <f>'Expenditures 15-22'!F70</f>
        <v>5937</v>
      </c>
      <c r="D923" s="2" t="str">
        <f t="shared" si="13"/>
        <v>Error?</v>
      </c>
    </row>
    <row r="924" spans="1:4" x14ac:dyDescent="0.2">
      <c r="A924" s="10">
        <v>863</v>
      </c>
      <c r="D924" s="2" t="str">
        <f t="shared" si="13"/>
        <v>OK</v>
      </c>
    </row>
    <row r="925" spans="1:4" x14ac:dyDescent="0.2">
      <c r="A925" s="5">
        <v>864</v>
      </c>
      <c r="B925" s="134">
        <f>'Expenditures 15-22'!F71</f>
        <v>9035</v>
      </c>
      <c r="D925" s="2" t="str">
        <f t="shared" si="13"/>
        <v>Error?</v>
      </c>
    </row>
    <row r="926" spans="1:4" x14ac:dyDescent="0.2">
      <c r="A926" s="10">
        <v>865</v>
      </c>
      <c r="D926" s="2" t="str">
        <f t="shared" si="13"/>
        <v>OK</v>
      </c>
    </row>
    <row r="927" spans="1:4" x14ac:dyDescent="0.2">
      <c r="A927" s="5">
        <v>866</v>
      </c>
      <c r="B927" s="134">
        <f>'Expenditures 15-22'!F72</f>
        <v>29784</v>
      </c>
      <c r="C927" s="2" t="s">
        <v>593</v>
      </c>
      <c r="D927" s="2" t="str">
        <f t="shared" si="13"/>
        <v>Error?</v>
      </c>
    </row>
    <row r="928" spans="1:4" x14ac:dyDescent="0.2">
      <c r="A928" s="5">
        <v>867</v>
      </c>
      <c r="B928" s="134">
        <f>'Expenditures 15-22'!F73</f>
        <v>151</v>
      </c>
      <c r="D928" s="2" t="str">
        <f t="shared" si="13"/>
        <v>Error?</v>
      </c>
    </row>
    <row r="929" spans="1:4" x14ac:dyDescent="0.2">
      <c r="A929" s="5">
        <v>868</v>
      </c>
      <c r="B929" s="134">
        <f>'Expenditures 15-22'!F74</f>
        <v>3129251</v>
      </c>
      <c r="C929" s="2" t="s">
        <v>593</v>
      </c>
      <c r="D929" s="2" t="str">
        <f t="shared" si="13"/>
        <v>Error?</v>
      </c>
    </row>
    <row r="930" spans="1:4" x14ac:dyDescent="0.2">
      <c r="A930" s="5">
        <v>869</v>
      </c>
      <c r="B930" s="134">
        <f>'Expenditures 15-22'!F75</f>
        <v>53044</v>
      </c>
      <c r="D930" s="2" t="str">
        <f t="shared" si="13"/>
        <v>Error?</v>
      </c>
    </row>
    <row r="931" spans="1:4" x14ac:dyDescent="0.2">
      <c r="A931" s="5">
        <v>870</v>
      </c>
      <c r="B931" s="134">
        <f>'Expenditures 15-22'!F114</f>
        <v>5274759</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287012</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3853</v>
      </c>
      <c r="D950" s="2" t="str">
        <f t="shared" si="13"/>
        <v>Error?</v>
      </c>
    </row>
    <row r="951" spans="1:4" x14ac:dyDescent="0.2">
      <c r="A951" s="5">
        <v>890</v>
      </c>
      <c r="B951" s="134">
        <f>'Expenditures 15-22'!G15</f>
        <v>0</v>
      </c>
      <c r="D951" s="2" t="str">
        <f t="shared" si="13"/>
        <v>Error?</v>
      </c>
    </row>
    <row r="952" spans="1:4" x14ac:dyDescent="0.2">
      <c r="A952" s="5">
        <v>891</v>
      </c>
      <c r="B952" s="134">
        <f>'Expenditures 15-22'!G33</f>
        <v>305062</v>
      </c>
      <c r="C952" s="2" t="s">
        <v>593</v>
      </c>
      <c r="D952" s="2" t="str">
        <f t="shared" si="13"/>
        <v>Error?</v>
      </c>
    </row>
    <row r="953" spans="1:4" x14ac:dyDescent="0.2">
      <c r="A953" s="5">
        <v>892</v>
      </c>
      <c r="B953" s="134">
        <f>'Expenditures 15-22'!G36</f>
        <v>899</v>
      </c>
      <c r="D953" s="2" t="str">
        <f t="shared" si="13"/>
        <v>Error?</v>
      </c>
    </row>
    <row r="954" spans="1:4" x14ac:dyDescent="0.2">
      <c r="A954" s="5">
        <v>893</v>
      </c>
      <c r="B954" s="134">
        <f>'Expenditures 15-22'!G37</f>
        <v>106</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1005</v>
      </c>
      <c r="C959" s="2" t="s">
        <v>593</v>
      </c>
      <c r="D959" s="2" t="str">
        <f t="shared" ref="D959:D1022" si="14">IF(ISBLANK(B959),"OK",IF(A959-B959=0,"OK","Error?"))</f>
        <v>Error?</v>
      </c>
    </row>
    <row r="960" spans="1:4" x14ac:dyDescent="0.2">
      <c r="A960" s="5">
        <v>899</v>
      </c>
      <c r="B960" s="134">
        <f>'Expenditures 15-22'!G44</f>
        <v>20244</v>
      </c>
      <c r="D960" s="2" t="str">
        <f t="shared" si="14"/>
        <v>Error?</v>
      </c>
    </row>
    <row r="961" spans="1:4" x14ac:dyDescent="0.2">
      <c r="A961" s="5">
        <v>900</v>
      </c>
      <c r="B961" s="134">
        <f>'Expenditures 15-22'!G45</f>
        <v>7192</v>
      </c>
      <c r="D961" s="2" t="str">
        <f t="shared" si="14"/>
        <v>Error?</v>
      </c>
    </row>
    <row r="962" spans="1:4" x14ac:dyDescent="0.2">
      <c r="A962" s="5">
        <v>901</v>
      </c>
      <c r="B962" s="134">
        <f>'Expenditures 15-22'!G46</f>
        <v>0</v>
      </c>
      <c r="D962" s="2" t="str">
        <f t="shared" si="14"/>
        <v>Error?</v>
      </c>
    </row>
    <row r="963" spans="1:4" x14ac:dyDescent="0.2">
      <c r="A963" s="5">
        <v>902</v>
      </c>
      <c r="B963" s="134">
        <f>'Expenditures 15-22'!G47</f>
        <v>27436</v>
      </c>
      <c r="C963" s="2" t="s">
        <v>593</v>
      </c>
      <c r="D963" s="2" t="str">
        <f t="shared" si="14"/>
        <v>Error?</v>
      </c>
    </row>
    <row r="964" spans="1:4" x14ac:dyDescent="0.2">
      <c r="A964" s="5">
        <v>903</v>
      </c>
      <c r="B964" s="134">
        <f>'Expenditures 15-22'!G49</f>
        <v>116114</v>
      </c>
      <c r="D964" s="2" t="str">
        <f t="shared" si="14"/>
        <v>Error?</v>
      </c>
    </row>
    <row r="965" spans="1:4" x14ac:dyDescent="0.2">
      <c r="A965" s="5">
        <v>904</v>
      </c>
      <c r="B965" s="134">
        <f>'Expenditures 15-22'!G50</f>
        <v>5574</v>
      </c>
      <c r="D965" s="2" t="str">
        <f t="shared" si="14"/>
        <v>Error?</v>
      </c>
    </row>
    <row r="966" spans="1:4" x14ac:dyDescent="0.2">
      <c r="A966" s="5">
        <v>905</v>
      </c>
      <c r="B966" s="134">
        <f>'Expenditures 15-22'!G53</f>
        <v>121688</v>
      </c>
      <c r="C966" s="2" t="s">
        <v>593</v>
      </c>
      <c r="D966" s="2" t="str">
        <f t="shared" si="14"/>
        <v>Error?</v>
      </c>
    </row>
    <row r="967" spans="1:4" x14ac:dyDescent="0.2">
      <c r="A967" s="5">
        <v>906</v>
      </c>
      <c r="B967" s="134">
        <f>'Expenditures 15-22'!G55</f>
        <v>23991</v>
      </c>
      <c r="D967" s="2" t="str">
        <f t="shared" si="14"/>
        <v>Error?</v>
      </c>
    </row>
    <row r="968" spans="1:4" x14ac:dyDescent="0.2">
      <c r="A968" s="5">
        <v>907</v>
      </c>
      <c r="B968" s="134">
        <f>'Expenditures 15-22'!G56</f>
        <v>0</v>
      </c>
      <c r="D968" s="2" t="str">
        <f t="shared" si="14"/>
        <v>Error?</v>
      </c>
    </row>
    <row r="969" spans="1:4" x14ac:dyDescent="0.2">
      <c r="A969" s="5">
        <v>908</v>
      </c>
      <c r="B969" s="134">
        <f>'Expenditures 15-22'!G57</f>
        <v>23991</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4642</v>
      </c>
      <c r="D971" s="2" t="str">
        <f t="shared" si="14"/>
        <v>Error?</v>
      </c>
    </row>
    <row r="972" spans="1:4" x14ac:dyDescent="0.2">
      <c r="A972" s="5">
        <v>911</v>
      </c>
      <c r="B972" s="134">
        <f>'Expenditures 15-22'!G61</f>
        <v>2619070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207876</v>
      </c>
      <c r="D974" s="2" t="str">
        <f t="shared" si="14"/>
        <v>Error?</v>
      </c>
    </row>
    <row r="975" spans="1:4" x14ac:dyDescent="0.2">
      <c r="A975" s="5">
        <v>914</v>
      </c>
      <c r="B975" s="134">
        <f>'Expenditures 15-22'!G64</f>
        <v>17261</v>
      </c>
      <c r="D975" s="2" t="str">
        <f t="shared" si="14"/>
        <v>Error?</v>
      </c>
    </row>
    <row r="976" spans="1:4" x14ac:dyDescent="0.2">
      <c r="A976" s="10">
        <v>915</v>
      </c>
      <c r="D976" s="2" t="str">
        <f t="shared" si="14"/>
        <v>OK</v>
      </c>
    </row>
    <row r="977" spans="1:4" x14ac:dyDescent="0.2">
      <c r="A977" s="5">
        <v>916</v>
      </c>
      <c r="B977" s="134">
        <f>'Expenditures 15-22'!G65</f>
        <v>2848849</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8703</v>
      </c>
      <c r="D980" s="2" t="str">
        <f t="shared" si="14"/>
        <v>Error?</v>
      </c>
    </row>
    <row r="981" spans="1:4" x14ac:dyDescent="0.2">
      <c r="A981" s="5">
        <v>920</v>
      </c>
      <c r="B981" s="134">
        <f>'Expenditures 15-22'!G70</f>
        <v>416</v>
      </c>
      <c r="D981" s="2" t="str">
        <f t="shared" si="14"/>
        <v>Error?</v>
      </c>
    </row>
    <row r="982" spans="1:4" x14ac:dyDescent="0.2">
      <c r="A982" s="10">
        <v>921</v>
      </c>
      <c r="D982" s="2" t="str">
        <f t="shared" si="14"/>
        <v>OK</v>
      </c>
    </row>
    <row r="983" spans="1:4" x14ac:dyDescent="0.2">
      <c r="A983" s="5">
        <v>922</v>
      </c>
      <c r="B983" s="134">
        <f>'Expenditures 15-22'!G71</f>
        <v>179537</v>
      </c>
      <c r="D983" s="2" t="str">
        <f t="shared" si="14"/>
        <v>Error?</v>
      </c>
    </row>
    <row r="984" spans="1:4" x14ac:dyDescent="0.2">
      <c r="A984" s="10">
        <v>923</v>
      </c>
      <c r="D984" s="2" t="str">
        <f t="shared" si="14"/>
        <v>OK</v>
      </c>
    </row>
    <row r="985" spans="1:4" x14ac:dyDescent="0.2">
      <c r="A985" s="5">
        <v>924</v>
      </c>
      <c r="B985" s="134">
        <f>'Expenditures 15-22'!G72</f>
        <v>188656</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3211625</v>
      </c>
      <c r="C987" s="2" t="s">
        <v>593</v>
      </c>
      <c r="D987" s="2" t="str">
        <f t="shared" si="14"/>
        <v>Error?</v>
      </c>
    </row>
    <row r="988" spans="1:4" x14ac:dyDescent="0.2">
      <c r="A988" s="5">
        <v>927</v>
      </c>
      <c r="B988" s="134">
        <f>'Expenditures 15-22'!G75</f>
        <v>273</v>
      </c>
      <c r="D988" s="2" t="str">
        <f t="shared" si="14"/>
        <v>Error?</v>
      </c>
    </row>
    <row r="989" spans="1:4" x14ac:dyDescent="0.2">
      <c r="A989" s="5">
        <v>928</v>
      </c>
      <c r="B989" s="134">
        <f>'Expenditures 15-22'!G114</f>
        <v>3516960</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54941</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0</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3309179</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3276</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3276</v>
      </c>
      <c r="C1021" s="2" t="s">
        <v>593</v>
      </c>
      <c r="D1021" s="2" t="str">
        <f t="shared" si="14"/>
        <v>Error?</v>
      </c>
    </row>
    <row r="1022" spans="1:4" x14ac:dyDescent="0.2">
      <c r="A1022" s="5">
        <v>961</v>
      </c>
      <c r="B1022" s="134">
        <f>'Expenditures 15-22'!H49</f>
        <v>0</v>
      </c>
      <c r="D1022" s="2" t="str">
        <f t="shared" si="14"/>
        <v>Error?</v>
      </c>
    </row>
    <row r="1023" spans="1:4" x14ac:dyDescent="0.2">
      <c r="A1023" s="5">
        <v>962</v>
      </c>
      <c r="B1023" s="134">
        <f>'Expenditures 15-22'!H50</f>
        <v>0</v>
      </c>
      <c r="D1023" s="2" t="str">
        <f t="shared" ref="D1023:D1086" si="15">IF(ISBLANK(B1023),"OK",IF(A1023-B1023=0,"OK","Error?"))</f>
        <v>Error?</v>
      </c>
    </row>
    <row r="1024" spans="1:4" x14ac:dyDescent="0.2">
      <c r="A1024" s="5">
        <v>963</v>
      </c>
      <c r="B1024" s="134">
        <f>'Expenditures 15-22'!H53</f>
        <v>59</v>
      </c>
      <c r="C1024" s="2" t="s">
        <v>593</v>
      </c>
      <c r="D1024" s="2" t="str">
        <f t="shared" si="15"/>
        <v>Error?</v>
      </c>
    </row>
    <row r="1025" spans="1:4" x14ac:dyDescent="0.2">
      <c r="A1025" s="5">
        <v>964</v>
      </c>
      <c r="B1025" s="134">
        <f>'Expenditures 15-22'!H55</f>
        <v>0</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0</v>
      </c>
      <c r="C1027" s="2" t="s">
        <v>593</v>
      </c>
      <c r="D1027" s="2" t="str">
        <f t="shared" si="15"/>
        <v>Error?</v>
      </c>
    </row>
    <row r="1028" spans="1:4" x14ac:dyDescent="0.2">
      <c r="A1028" s="5">
        <v>967</v>
      </c>
      <c r="B1028" s="134">
        <f>'Expenditures 15-22'!H59</f>
        <v>0</v>
      </c>
      <c r="D1028" s="2" t="str">
        <f t="shared" si="15"/>
        <v>Error?</v>
      </c>
    </row>
    <row r="1029" spans="1:4" x14ac:dyDescent="0.2">
      <c r="A1029" s="5">
        <v>968</v>
      </c>
      <c r="B1029" s="134">
        <f>'Expenditures 15-22'!H60</f>
        <v>0</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0</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34787</v>
      </c>
      <c r="D1041" s="2" t="str">
        <f t="shared" si="15"/>
        <v>Error?</v>
      </c>
    </row>
    <row r="1042" spans="1:4" x14ac:dyDescent="0.2">
      <c r="A1042" s="10">
        <v>981</v>
      </c>
      <c r="D1042" s="2" t="str">
        <f t="shared" si="15"/>
        <v>OK</v>
      </c>
    </row>
    <row r="1043" spans="1:4" x14ac:dyDescent="0.2">
      <c r="A1043" s="5">
        <v>982</v>
      </c>
      <c r="B1043" s="134">
        <f>'Expenditures 15-22'!H72</f>
        <v>34787</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38122</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495070</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3842371</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43417026</v>
      </c>
      <c r="C1093" s="2" t="s">
        <v>593</v>
      </c>
      <c r="D1093" s="2" t="str">
        <f t="shared" si="16"/>
        <v>Error?</v>
      </c>
    </row>
    <row r="1094" spans="1:4" x14ac:dyDescent="0.2">
      <c r="A1094" s="5">
        <v>1033</v>
      </c>
      <c r="B1094" s="134">
        <f>'Expenditures 15-22'!K16</f>
        <v>695014</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3168331</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9303</v>
      </c>
      <c r="C1105" s="2" t="s">
        <v>593</v>
      </c>
      <c r="D1105" s="2" t="str">
        <f t="shared" si="16"/>
        <v>Error?</v>
      </c>
    </row>
    <row r="1106" spans="1:4" x14ac:dyDescent="0.2">
      <c r="A1106" s="5">
        <v>1045</v>
      </c>
      <c r="B1106" s="134">
        <f>'Expenditures 15-22'!K14</f>
        <v>617666</v>
      </c>
      <c r="C1106" s="2" t="s">
        <v>593</v>
      </c>
      <c r="D1106" s="2" t="str">
        <f t="shared" si="16"/>
        <v>Error?</v>
      </c>
    </row>
    <row r="1107" spans="1:4" x14ac:dyDescent="0.2">
      <c r="A1107" s="5">
        <v>1046</v>
      </c>
      <c r="B1107" s="134">
        <f>'Expenditures 15-22'!K15</f>
        <v>310410</v>
      </c>
      <c r="C1107" s="2" t="s">
        <v>593</v>
      </c>
      <c r="D1107" s="2" t="str">
        <f t="shared" si="16"/>
        <v>Error?</v>
      </c>
    </row>
    <row r="1108" spans="1:4" x14ac:dyDescent="0.2">
      <c r="A1108" s="5">
        <v>1047</v>
      </c>
      <c r="B1108" s="134">
        <f>'Expenditures 15-22'!K33</f>
        <v>69272233</v>
      </c>
      <c r="C1108" s="2" t="s">
        <v>593</v>
      </c>
      <c r="D1108" s="2" t="str">
        <f t="shared" si="16"/>
        <v>Error?</v>
      </c>
    </row>
    <row r="1109" spans="1:4" x14ac:dyDescent="0.2">
      <c r="A1109" s="5">
        <v>1048</v>
      </c>
      <c r="B1109" s="134">
        <f>'Expenditures 15-22'!K36</f>
        <v>2120362</v>
      </c>
      <c r="C1109" s="2" t="s">
        <v>593</v>
      </c>
      <c r="D1109" s="2" t="str">
        <f t="shared" si="16"/>
        <v>Error?</v>
      </c>
    </row>
    <row r="1110" spans="1:4" x14ac:dyDescent="0.2">
      <c r="A1110" s="5">
        <v>1049</v>
      </c>
      <c r="B1110" s="134">
        <f>'Expenditures 15-22'!K37</f>
        <v>1502794</v>
      </c>
      <c r="C1110" s="2" t="s">
        <v>593</v>
      </c>
      <c r="D1110" s="2" t="str">
        <f t="shared" si="16"/>
        <v>Error?</v>
      </c>
    </row>
    <row r="1111" spans="1:4" x14ac:dyDescent="0.2">
      <c r="A1111" s="5">
        <v>1050</v>
      </c>
      <c r="B1111" s="134">
        <f>'Expenditures 15-22'!K38</f>
        <v>615944</v>
      </c>
      <c r="C1111" s="2" t="s">
        <v>593</v>
      </c>
      <c r="D1111" s="2" t="str">
        <f t="shared" si="16"/>
        <v>Error?</v>
      </c>
    </row>
    <row r="1112" spans="1:4" x14ac:dyDescent="0.2">
      <c r="A1112" s="5">
        <v>1051</v>
      </c>
      <c r="B1112" s="134">
        <f>'Expenditures 15-22'!K39</f>
        <v>896838</v>
      </c>
      <c r="C1112" s="2" t="s">
        <v>593</v>
      </c>
      <c r="D1112" s="2" t="str">
        <f t="shared" si="16"/>
        <v>Error?</v>
      </c>
    </row>
    <row r="1113" spans="1:4" x14ac:dyDescent="0.2">
      <c r="A1113" s="5">
        <v>1052</v>
      </c>
      <c r="B1113" s="134">
        <f>'Expenditures 15-22'!K40</f>
        <v>1855239</v>
      </c>
      <c r="C1113" s="2" t="s">
        <v>593</v>
      </c>
      <c r="D1113" s="2" t="str">
        <f t="shared" si="16"/>
        <v>Error?</v>
      </c>
    </row>
    <row r="1114" spans="1:4" x14ac:dyDescent="0.2">
      <c r="A1114" s="5">
        <v>1053</v>
      </c>
      <c r="B1114" s="134">
        <f>'Expenditures 15-22'!K41</f>
        <v>0</v>
      </c>
      <c r="C1114" s="2" t="s">
        <v>593</v>
      </c>
      <c r="D1114" s="2" t="str">
        <f t="shared" si="16"/>
        <v>Error?</v>
      </c>
    </row>
    <row r="1115" spans="1:4" x14ac:dyDescent="0.2">
      <c r="A1115" s="5">
        <v>1054</v>
      </c>
      <c r="B1115" s="134">
        <f>'Expenditures 15-22'!K42</f>
        <v>6991177</v>
      </c>
      <c r="C1115" s="2" t="s">
        <v>593</v>
      </c>
      <c r="D1115" s="2" t="str">
        <f t="shared" si="16"/>
        <v>Error?</v>
      </c>
    </row>
    <row r="1116" spans="1:4" x14ac:dyDescent="0.2">
      <c r="A1116" s="5">
        <v>1055</v>
      </c>
      <c r="B1116" s="134">
        <f>'Expenditures 15-22'!K44</f>
        <v>5598540</v>
      </c>
      <c r="C1116" s="2" t="s">
        <v>593</v>
      </c>
      <c r="D1116" s="2" t="str">
        <f t="shared" si="16"/>
        <v>Error?</v>
      </c>
    </row>
    <row r="1117" spans="1:4" x14ac:dyDescent="0.2">
      <c r="A1117" s="5">
        <v>1056</v>
      </c>
      <c r="B1117" s="134">
        <f>'Expenditures 15-22'!K45</f>
        <v>1628959</v>
      </c>
      <c r="C1117" s="2" t="s">
        <v>593</v>
      </c>
      <c r="D1117" s="2" t="str">
        <f t="shared" si="16"/>
        <v>Error?</v>
      </c>
    </row>
    <row r="1118" spans="1:4" x14ac:dyDescent="0.2">
      <c r="A1118" s="5">
        <v>1057</v>
      </c>
      <c r="B1118" s="134">
        <f>'Expenditures 15-22'!K46</f>
        <v>403014</v>
      </c>
      <c r="C1118" s="2" t="s">
        <v>593</v>
      </c>
      <c r="D1118" s="2" t="str">
        <f t="shared" si="16"/>
        <v>Error?</v>
      </c>
    </row>
    <row r="1119" spans="1:4" x14ac:dyDescent="0.2">
      <c r="A1119" s="5">
        <v>1058</v>
      </c>
      <c r="B1119" s="134">
        <f>'Expenditures 15-22'!K47</f>
        <v>7630513</v>
      </c>
      <c r="C1119" s="2" t="s">
        <v>593</v>
      </c>
      <c r="D1119" s="2" t="str">
        <f t="shared" si="16"/>
        <v>Error?</v>
      </c>
    </row>
    <row r="1120" spans="1:4" x14ac:dyDescent="0.2">
      <c r="A1120" s="5">
        <v>1059</v>
      </c>
      <c r="B1120" s="134">
        <f>'Expenditures 15-22'!K49</f>
        <v>550179</v>
      </c>
      <c r="C1120" s="2" t="s">
        <v>593</v>
      </c>
      <c r="D1120" s="2" t="str">
        <f t="shared" si="16"/>
        <v>Error?</v>
      </c>
    </row>
    <row r="1121" spans="1:4" x14ac:dyDescent="0.2">
      <c r="A1121" s="5">
        <v>1060</v>
      </c>
      <c r="B1121" s="134">
        <f>'Expenditures 15-22'!K50</f>
        <v>455641</v>
      </c>
      <c r="C1121" s="2" t="s">
        <v>593</v>
      </c>
      <c r="D1121" s="2" t="str">
        <f t="shared" si="16"/>
        <v>Error?</v>
      </c>
    </row>
    <row r="1122" spans="1:4" x14ac:dyDescent="0.2">
      <c r="A1122" s="5">
        <v>1061</v>
      </c>
      <c r="B1122" s="134">
        <f>'Expenditures 15-22'!K53</f>
        <v>1181357</v>
      </c>
      <c r="C1122" s="2" t="s">
        <v>593</v>
      </c>
      <c r="D1122" s="2" t="str">
        <f t="shared" si="16"/>
        <v>Error?</v>
      </c>
    </row>
    <row r="1123" spans="1:4" x14ac:dyDescent="0.2">
      <c r="A1123" s="5">
        <v>1062</v>
      </c>
      <c r="B1123" s="134">
        <f>'Expenditures 15-22'!K55</f>
        <v>8002918</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8002918</v>
      </c>
      <c r="C1125" s="2" t="s">
        <v>593</v>
      </c>
      <c r="D1125" s="2" t="str">
        <f t="shared" si="16"/>
        <v>Error?</v>
      </c>
    </row>
    <row r="1126" spans="1:4" x14ac:dyDescent="0.2">
      <c r="A1126" s="5">
        <v>1065</v>
      </c>
      <c r="B1126" s="134">
        <f>'Expenditures 15-22'!K59</f>
        <v>160942</v>
      </c>
      <c r="C1126" s="2" t="s">
        <v>593</v>
      </c>
      <c r="D1126" s="2" t="str">
        <f t="shared" si="16"/>
        <v>Error?</v>
      </c>
    </row>
    <row r="1127" spans="1:4" x14ac:dyDescent="0.2">
      <c r="A1127" s="5">
        <v>1066</v>
      </c>
      <c r="B1127" s="134">
        <f>'Expenditures 15-22'!K60</f>
        <v>494193</v>
      </c>
      <c r="C1127" s="2" t="s">
        <v>593</v>
      </c>
      <c r="D1127" s="2" t="str">
        <f t="shared" si="16"/>
        <v>Error?</v>
      </c>
    </row>
    <row r="1128" spans="1:4" x14ac:dyDescent="0.2">
      <c r="A1128" s="5">
        <v>1067</v>
      </c>
      <c r="B1128" s="134">
        <f>'Expenditures 15-22'!K61</f>
        <v>2710050</v>
      </c>
      <c r="C1128" s="2" t="s">
        <v>593</v>
      </c>
      <c r="D1128" s="2" t="str">
        <f t="shared" si="16"/>
        <v>Error?</v>
      </c>
    </row>
    <row r="1129" spans="1:4" x14ac:dyDescent="0.2">
      <c r="A1129" s="5">
        <v>1068</v>
      </c>
      <c r="B1129" s="134">
        <f>'Expenditures 15-22'!K62</f>
        <v>618082</v>
      </c>
      <c r="C1129" s="2" t="s">
        <v>593</v>
      </c>
      <c r="D1129" s="2" t="str">
        <f t="shared" si="16"/>
        <v>Error?</v>
      </c>
    </row>
    <row r="1130" spans="1:4" x14ac:dyDescent="0.2">
      <c r="A1130" s="5">
        <v>1069</v>
      </c>
      <c r="B1130" s="134">
        <f>'Expenditures 15-22'!K63</f>
        <v>4221175</v>
      </c>
      <c r="C1130" s="2" t="s">
        <v>593</v>
      </c>
      <c r="D1130" s="2" t="str">
        <f t="shared" si="16"/>
        <v>Error?</v>
      </c>
    </row>
    <row r="1131" spans="1:4" x14ac:dyDescent="0.2">
      <c r="A1131" s="5">
        <v>1070</v>
      </c>
      <c r="B1131" s="134">
        <f>'Expenditures 15-22'!K64</f>
        <v>283964</v>
      </c>
      <c r="C1131" s="2" t="s">
        <v>593</v>
      </c>
      <c r="D1131" s="2" t="str">
        <f t="shared" si="16"/>
        <v>Error?</v>
      </c>
    </row>
    <row r="1132" spans="1:4" x14ac:dyDescent="0.2">
      <c r="A1132" s="10">
        <v>1071</v>
      </c>
      <c r="D1132" s="2" t="str">
        <f t="shared" si="16"/>
        <v>OK</v>
      </c>
    </row>
    <row r="1133" spans="1:4" x14ac:dyDescent="0.2">
      <c r="A1133" s="5">
        <v>1072</v>
      </c>
      <c r="B1133" s="134">
        <f>'Expenditures 15-22'!K65</f>
        <v>8488406</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622460</v>
      </c>
      <c r="C1136" s="2" t="s">
        <v>593</v>
      </c>
      <c r="D1136" s="2" t="str">
        <f t="shared" si="16"/>
        <v>Error?</v>
      </c>
    </row>
    <row r="1137" spans="1:4" x14ac:dyDescent="0.2">
      <c r="A1137" s="5">
        <v>1076</v>
      </c>
      <c r="B1137" s="134">
        <f>'Expenditures 15-22'!K70</f>
        <v>739184</v>
      </c>
      <c r="C1137" s="2" t="s">
        <v>593</v>
      </c>
      <c r="D1137" s="2" t="str">
        <f t="shared" si="16"/>
        <v>Error?</v>
      </c>
    </row>
    <row r="1138" spans="1:4" x14ac:dyDescent="0.2">
      <c r="A1138" s="10">
        <v>1077</v>
      </c>
      <c r="D1138" s="2" t="str">
        <f t="shared" si="16"/>
        <v>OK</v>
      </c>
    </row>
    <row r="1139" spans="1:4" x14ac:dyDescent="0.2">
      <c r="A1139" s="5">
        <v>1078</v>
      </c>
      <c r="B1139" s="134">
        <f>'Expenditures 15-22'!K71</f>
        <v>2625131</v>
      </c>
      <c r="C1139" s="2" t="s">
        <v>593</v>
      </c>
      <c r="D1139" s="2" t="str">
        <f t="shared" si="16"/>
        <v>Error?</v>
      </c>
    </row>
    <row r="1140" spans="1:4" x14ac:dyDescent="0.2">
      <c r="A1140" s="10">
        <v>1079</v>
      </c>
      <c r="D1140" s="2" t="str">
        <f t="shared" si="16"/>
        <v>OK</v>
      </c>
    </row>
    <row r="1141" spans="1:4" x14ac:dyDescent="0.2">
      <c r="A1141" s="5">
        <v>1080</v>
      </c>
      <c r="B1141" s="134">
        <f>'Expenditures 15-22'!K72</f>
        <v>3986775</v>
      </c>
      <c r="C1141" s="2" t="s">
        <v>593</v>
      </c>
      <c r="D1141" s="2" t="str">
        <f t="shared" si="16"/>
        <v>Error?</v>
      </c>
    </row>
    <row r="1142" spans="1:4" x14ac:dyDescent="0.2">
      <c r="A1142" s="5">
        <v>1081</v>
      </c>
      <c r="B1142" s="134">
        <f>'Expenditures 15-22'!K73</f>
        <v>77385</v>
      </c>
      <c r="C1142" s="2" t="s">
        <v>593</v>
      </c>
      <c r="D1142" s="2" t="str">
        <f t="shared" si="16"/>
        <v>Error?</v>
      </c>
    </row>
    <row r="1143" spans="1:4" x14ac:dyDescent="0.2">
      <c r="A1143" s="5">
        <v>1082</v>
      </c>
      <c r="B1143" s="134">
        <f>'Expenditures 15-22'!K74</f>
        <v>36358531</v>
      </c>
      <c r="C1143" s="2" t="s">
        <v>593</v>
      </c>
      <c r="D1143" s="2" t="str">
        <f t="shared" si="16"/>
        <v>Error?</v>
      </c>
    </row>
    <row r="1144" spans="1:4" x14ac:dyDescent="0.2">
      <c r="A1144" s="5">
        <v>1083</v>
      </c>
      <c r="B1144" s="134">
        <f>'Expenditures 15-22'!K75</f>
        <v>1504855</v>
      </c>
      <c r="C1144" s="2" t="s">
        <v>593</v>
      </c>
      <c r="D1144" s="2" t="str">
        <f t="shared" si="16"/>
        <v>Error?</v>
      </c>
    </row>
    <row r="1145" spans="1:4" x14ac:dyDescent="0.2">
      <c r="A1145" s="5">
        <v>1084</v>
      </c>
      <c r="B1145" s="134">
        <f>'Expenditures 15-22'!K102</f>
        <v>495150</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107630769</v>
      </c>
      <c r="C1152" s="2" t="s">
        <v>593</v>
      </c>
      <c r="D1152" s="2" t="str">
        <f t="shared" si="17"/>
        <v>Error?</v>
      </c>
    </row>
    <row r="1153" spans="1:4" x14ac:dyDescent="0.2">
      <c r="A1153" s="5">
        <v>1092</v>
      </c>
      <c r="B1153" s="134">
        <f>'Expenditures 15-22'!K115</f>
        <v>1566367</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194415</v>
      </c>
      <c r="D1220" s="2" t="str">
        <f t="shared" si="18"/>
        <v>Error?</v>
      </c>
    </row>
    <row r="1221" spans="1:4" x14ac:dyDescent="0.2">
      <c r="A1221" s="5">
        <v>1160</v>
      </c>
      <c r="B1221" s="134">
        <f>'Expenditures 15-22'!C124</f>
        <v>4071005</v>
      </c>
      <c r="D1221" s="2" t="str">
        <f t="shared" si="18"/>
        <v>Error?</v>
      </c>
    </row>
    <row r="1222" spans="1:4" x14ac:dyDescent="0.2">
      <c r="A1222" s="10">
        <v>1161</v>
      </c>
      <c r="D1222" s="2" t="str">
        <f t="shared" si="18"/>
        <v>OK</v>
      </c>
    </row>
    <row r="1223" spans="1:4" x14ac:dyDescent="0.2">
      <c r="A1223" s="5">
        <v>1162</v>
      </c>
      <c r="B1223" s="134">
        <f>'Expenditures 15-22'!C127</f>
        <v>4265420</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4265420</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17324</v>
      </c>
      <c r="D1228" s="2" t="str">
        <f t="shared" si="18"/>
        <v>Error?</v>
      </c>
    </row>
    <row r="1229" spans="1:4" x14ac:dyDescent="0.2">
      <c r="A1229" s="5">
        <v>1168</v>
      </c>
      <c r="B1229" s="134">
        <f>'Expenditures 15-22'!D124</f>
        <v>749232</v>
      </c>
      <c r="D1229" s="2" t="str">
        <f t="shared" si="18"/>
        <v>Error?</v>
      </c>
    </row>
    <row r="1230" spans="1:4" x14ac:dyDescent="0.2">
      <c r="A1230" s="10">
        <v>1169</v>
      </c>
      <c r="D1230" s="2" t="str">
        <f t="shared" si="18"/>
        <v>OK</v>
      </c>
    </row>
    <row r="1231" spans="1:4" x14ac:dyDescent="0.2">
      <c r="A1231" s="5">
        <v>1170</v>
      </c>
      <c r="B1231" s="134">
        <f>'Expenditures 15-22'!D127</f>
        <v>766556</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766556</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43</v>
      </c>
      <c r="D1236" s="2" t="str">
        <f t="shared" si="18"/>
        <v>Error?</v>
      </c>
    </row>
    <row r="1237" spans="1:4" x14ac:dyDescent="0.2">
      <c r="A1237" s="5">
        <v>1176</v>
      </c>
      <c r="B1237" s="134">
        <f>'Expenditures 15-22'!E124</f>
        <v>2097525</v>
      </c>
      <c r="D1237" s="2" t="str">
        <f t="shared" si="18"/>
        <v>Error?</v>
      </c>
    </row>
    <row r="1238" spans="1:4" x14ac:dyDescent="0.2">
      <c r="A1238" s="10">
        <v>1177</v>
      </c>
      <c r="D1238" s="2" t="str">
        <f t="shared" si="18"/>
        <v>OK</v>
      </c>
    </row>
    <row r="1239" spans="1:4" x14ac:dyDescent="0.2">
      <c r="A1239" s="5">
        <v>1178</v>
      </c>
      <c r="B1239" s="134">
        <f>'Expenditures 15-22'!E127</f>
        <v>2097568</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2097568</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2223</v>
      </c>
      <c r="D1244" s="2" t="str">
        <f t="shared" si="18"/>
        <v>Error?</v>
      </c>
    </row>
    <row r="1245" spans="1:4" x14ac:dyDescent="0.2">
      <c r="A1245" s="5">
        <v>1184</v>
      </c>
      <c r="B1245" s="134">
        <f>'Expenditures 15-22'!F124</f>
        <v>2760581</v>
      </c>
      <c r="D1245" s="2" t="str">
        <f t="shared" si="18"/>
        <v>Error?</v>
      </c>
    </row>
    <row r="1246" spans="1:4" x14ac:dyDescent="0.2">
      <c r="A1246" s="10">
        <v>1185</v>
      </c>
      <c r="D1246" s="2" t="str">
        <f t="shared" si="18"/>
        <v>OK</v>
      </c>
    </row>
    <row r="1247" spans="1:4" x14ac:dyDescent="0.2">
      <c r="A1247" s="5">
        <v>1186</v>
      </c>
      <c r="B1247" s="134">
        <f>'Expenditures 15-22'!F127</f>
        <v>2762804</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2762804</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1642</v>
      </c>
      <c r="D1252" s="2" t="str">
        <f t="shared" si="18"/>
        <v>Error?</v>
      </c>
    </row>
    <row r="1253" spans="1:4" x14ac:dyDescent="0.2">
      <c r="A1253" s="5">
        <v>1192</v>
      </c>
      <c r="B1253" s="134">
        <f>'Expenditures 15-22'!G124</f>
        <v>3653101</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3654743</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3654743</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75291</v>
      </c>
      <c r="D1262" s="2" t="str">
        <f t="shared" si="18"/>
        <v>Error?</v>
      </c>
    </row>
    <row r="1263" spans="1:4" x14ac:dyDescent="0.2">
      <c r="A1263" s="10">
        <v>1202</v>
      </c>
      <c r="D1263" s="2" t="str">
        <f t="shared" si="18"/>
        <v>OK</v>
      </c>
    </row>
    <row r="1264" spans="1:4" x14ac:dyDescent="0.2">
      <c r="A1264" s="5">
        <v>1203</v>
      </c>
      <c r="B1264" s="134">
        <f>'Expenditures 15-22'!H127</f>
        <v>75291</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75291</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215647</v>
      </c>
      <c r="C1275" s="2" t="s">
        <v>593</v>
      </c>
      <c r="D1275" s="2" t="str">
        <f t="shared" si="18"/>
        <v>Error?</v>
      </c>
    </row>
    <row r="1276" spans="1:4" x14ac:dyDescent="0.2">
      <c r="A1276" s="5">
        <v>1215</v>
      </c>
      <c r="B1276" s="134">
        <f>'Expenditures 15-22'!K124</f>
        <v>13406735</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13622382</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13622382</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-3718235</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2384</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4812433</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4619326</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9431759</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4812433</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4619326</v>
      </c>
      <c r="C1328" s="2" t="s">
        <v>593</v>
      </c>
      <c r="D1328" s="2" t="str">
        <f t="shared" si="19"/>
        <v>Error?</v>
      </c>
    </row>
    <row r="1329" spans="1:4" x14ac:dyDescent="0.2">
      <c r="A1329" s="5">
        <v>1268</v>
      </c>
      <c r="B1329" s="134">
        <f>'Expenditures 15-22'!K171</f>
        <v>2384</v>
      </c>
      <c r="C1329" s="2" t="s">
        <v>593</v>
      </c>
      <c r="D1329" s="2" t="str">
        <f t="shared" si="19"/>
        <v>Error?</v>
      </c>
    </row>
    <row r="1330" spans="1:4" x14ac:dyDescent="0.2">
      <c r="A1330" s="5">
        <v>1269</v>
      </c>
      <c r="B1330" s="134">
        <f>'Expenditures 15-22'!K172</f>
        <v>9434143</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7938333</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18427</v>
      </c>
      <c r="D1371" s="2" t="str">
        <f t="shared" si="20"/>
        <v>Error?</v>
      </c>
    </row>
    <row r="1372" spans="1:4" x14ac:dyDescent="0.2">
      <c r="A1372" s="5">
        <v>1311</v>
      </c>
      <c r="B1372" s="134">
        <f>'Expenditures 15-22'!H206</f>
        <v>469403</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18427</v>
      </c>
      <c r="C1383" s="2" t="s">
        <v>593</v>
      </c>
      <c r="D1383" s="2" t="str">
        <f t="shared" si="20"/>
        <v>Error?</v>
      </c>
    </row>
    <row r="1384" spans="1:4" x14ac:dyDescent="0.2">
      <c r="A1384" s="5">
        <v>1323</v>
      </c>
      <c r="B1384" s="134">
        <f>'Expenditures 15-22'!K206</f>
        <v>469403</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802604</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28962</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76582</v>
      </c>
      <c r="D1406" s="2" t="str">
        <f t="shared" si="20"/>
        <v>Error?</v>
      </c>
    </row>
    <row r="1407" spans="1:4" x14ac:dyDescent="0.2">
      <c r="A1407" s="5">
        <v>1346</v>
      </c>
      <c r="B1407" s="134">
        <f>'Expenditures 15-22'!D228</f>
        <v>33757</v>
      </c>
      <c r="D1407" s="2" t="str">
        <f t="shared" ref="D1407:D1470" si="21">IF(ISBLANK(B1407),"OK",IF(A1407-B1407=0,"OK","Error?"))</f>
        <v>Error?</v>
      </c>
    </row>
    <row r="1408" spans="1:4" x14ac:dyDescent="0.2">
      <c r="A1408" s="5">
        <v>1347</v>
      </c>
      <c r="B1408" s="134">
        <f>'Expenditures 15-22'!D229</f>
        <v>1630288</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10294</v>
      </c>
      <c r="C1410" s="2" t="s">
        <v>593</v>
      </c>
      <c r="D1410" s="2" t="str">
        <f t="shared" si="21"/>
        <v>Error?</v>
      </c>
    </row>
    <row r="1411" spans="1:4" x14ac:dyDescent="0.2">
      <c r="A1411" s="5">
        <v>1350</v>
      </c>
      <c r="B1411" s="134">
        <f>'Expenditures 15-22'!D238</f>
        <v>221451</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141139</v>
      </c>
      <c r="D1413" s="2" t="str">
        <f t="shared" si="21"/>
        <v>Error?</v>
      </c>
    </row>
    <row r="1414" spans="1:4" x14ac:dyDescent="0.2">
      <c r="A1414" s="5">
        <v>1353</v>
      </c>
      <c r="B1414" s="134">
        <f>'Expenditures 15-22'!D241</f>
        <v>54982</v>
      </c>
      <c r="D1414" s="2" t="str">
        <f t="shared" si="21"/>
        <v>Error?</v>
      </c>
    </row>
    <row r="1415" spans="1:4" x14ac:dyDescent="0.2">
      <c r="A1415" s="5">
        <v>1354</v>
      </c>
      <c r="B1415" s="134">
        <f>'Expenditures 15-22'!D242</f>
        <v>12234</v>
      </c>
      <c r="D1415" s="2" t="str">
        <f t="shared" si="21"/>
        <v>Error?</v>
      </c>
    </row>
    <row r="1416" spans="1:4" x14ac:dyDescent="0.2">
      <c r="A1416" s="5">
        <v>1355</v>
      </c>
      <c r="B1416" s="134">
        <f>'Expenditures 15-22'!D243</f>
        <v>208355</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3051</v>
      </c>
      <c r="D1418" s="2" t="str">
        <f t="shared" si="21"/>
        <v>Error?</v>
      </c>
    </row>
    <row r="1419" spans="1:4" x14ac:dyDescent="0.2">
      <c r="A1419" s="5">
        <v>1358</v>
      </c>
      <c r="B1419" s="134">
        <f>'Expenditures 15-22'!D247</f>
        <v>15876</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23431</v>
      </c>
      <c r="C1424" s="2" t="s">
        <v>593</v>
      </c>
      <c r="D1424" s="2" t="str">
        <f t="shared" si="21"/>
        <v>Error?</v>
      </c>
    </row>
    <row r="1425" spans="1:4" x14ac:dyDescent="0.2">
      <c r="A1425" s="5">
        <v>1364</v>
      </c>
      <c r="B1425" s="134">
        <f>'Expenditures 15-22'!D265</f>
        <v>35354</v>
      </c>
      <c r="D1425" s="2" t="str">
        <f t="shared" si="21"/>
        <v>Error?</v>
      </c>
    </row>
    <row r="1426" spans="1:4" x14ac:dyDescent="0.2">
      <c r="A1426" s="5">
        <v>1365</v>
      </c>
      <c r="B1426" s="134">
        <f>'Expenditures 15-22'!D266</f>
        <v>722510</v>
      </c>
      <c r="D1426" s="2" t="str">
        <f t="shared" si="21"/>
        <v>Error?</v>
      </c>
    </row>
    <row r="1427" spans="1:4" x14ac:dyDescent="0.2">
      <c r="A1427" s="5">
        <v>1366</v>
      </c>
      <c r="B1427" s="134">
        <f>'Expenditures 15-22'!D267</f>
        <v>599180</v>
      </c>
      <c r="C1427" s="2" t="s">
        <v>593</v>
      </c>
      <c r="D1427" s="2" t="str">
        <f t="shared" si="21"/>
        <v>Error?</v>
      </c>
    </row>
    <row r="1428" spans="1:4" x14ac:dyDescent="0.2">
      <c r="A1428" s="5">
        <v>1367</v>
      </c>
      <c r="B1428" s="134">
        <f>'Expenditures 15-22'!D269</f>
        <v>39325</v>
      </c>
      <c r="D1428" s="2" t="str">
        <f t="shared" si="21"/>
        <v>Error?</v>
      </c>
    </row>
    <row r="1429" spans="1:4" x14ac:dyDescent="0.2">
      <c r="A1429" s="5">
        <v>1368</v>
      </c>
      <c r="B1429" s="134">
        <f>'Expenditures 15-22'!D270</f>
        <v>1729347</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54775</v>
      </c>
      <c r="D1433" s="2" t="str">
        <f t="shared" si="21"/>
        <v>Error?</v>
      </c>
    </row>
    <row r="1434" spans="1:4" x14ac:dyDescent="0.2">
      <c r="A1434" s="5">
        <v>1373</v>
      </c>
      <c r="B1434" s="134">
        <f>'Expenditures 15-22'!D275</f>
        <v>50563</v>
      </c>
      <c r="D1434" s="2" t="str">
        <f t="shared" si="21"/>
        <v>Error?</v>
      </c>
    </row>
    <row r="1435" spans="1:4" x14ac:dyDescent="0.2">
      <c r="A1435" s="10">
        <v>1374</v>
      </c>
      <c r="D1435" s="2" t="str">
        <f t="shared" si="21"/>
        <v>OK</v>
      </c>
    </row>
    <row r="1436" spans="1:4" x14ac:dyDescent="0.2">
      <c r="A1436" s="5">
        <v>1375</v>
      </c>
      <c r="B1436" s="134">
        <f>'Expenditures 15-22'!D276</f>
        <v>122939</v>
      </c>
      <c r="C1436" s="2" t="s">
        <v>593</v>
      </c>
      <c r="D1436" s="2" t="str">
        <f t="shared" si="21"/>
        <v>Error?</v>
      </c>
    </row>
    <row r="1437" spans="1:4" x14ac:dyDescent="0.2">
      <c r="A1437" s="5">
        <v>1376</v>
      </c>
      <c r="B1437" s="134">
        <f>'Expenditures 15-22'!D278</f>
        <v>11623</v>
      </c>
      <c r="D1437" s="2" t="str">
        <f t="shared" si="21"/>
        <v>Error?</v>
      </c>
    </row>
    <row r="1438" spans="1:4" x14ac:dyDescent="0.2">
      <c r="A1438" s="5">
        <v>1377</v>
      </c>
      <c r="B1438" s="134">
        <f>'Expenditures 15-22'!D279</f>
        <v>2816562</v>
      </c>
      <c r="D1438" s="2" t="str">
        <f t="shared" si="21"/>
        <v>Error?</v>
      </c>
    </row>
    <row r="1439" spans="1:4" x14ac:dyDescent="0.2">
      <c r="A1439" s="5">
        <v>1378</v>
      </c>
      <c r="B1439" s="134">
        <f>'Expenditures 15-22'!D280</f>
        <v>159797</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28962</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76582</v>
      </c>
      <c r="C1470" s="2" t="s">
        <v>593</v>
      </c>
      <c r="D1470" s="2" t="str">
        <f t="shared" si="21"/>
        <v>Error?</v>
      </c>
    </row>
    <row r="1471" spans="1:4" x14ac:dyDescent="0.2">
      <c r="A1471" s="5">
        <v>1410</v>
      </c>
      <c r="B1471" s="134">
        <f>'Expenditures 15-22'!K228</f>
        <v>33757</v>
      </c>
      <c r="C1471" s="2" t="s">
        <v>593</v>
      </c>
      <c r="D1471" s="2" t="str">
        <f t="shared" ref="D1471:D1534" si="22">IF(ISBLANK(B1471),"OK",IF(A1471-B1471=0,"OK","Error?"))</f>
        <v>Error?</v>
      </c>
    </row>
    <row r="1472" spans="1:4" x14ac:dyDescent="0.2">
      <c r="A1472" s="5">
        <v>1411</v>
      </c>
      <c r="B1472" s="134">
        <f>'Expenditures 15-22'!K229</f>
        <v>1630288</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10294</v>
      </c>
      <c r="C1474" s="2" t="s">
        <v>593</v>
      </c>
      <c r="D1474" s="2" t="str">
        <f t="shared" si="22"/>
        <v>Error?</v>
      </c>
    </row>
    <row r="1475" spans="1:4" x14ac:dyDescent="0.2">
      <c r="A1475" s="5">
        <v>1414</v>
      </c>
      <c r="B1475" s="134">
        <f>'Expenditures 15-22'!K238</f>
        <v>221451</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141139</v>
      </c>
      <c r="C1477" s="2" t="s">
        <v>593</v>
      </c>
      <c r="D1477" s="2" t="str">
        <f t="shared" si="22"/>
        <v>Error?</v>
      </c>
    </row>
    <row r="1478" spans="1:4" x14ac:dyDescent="0.2">
      <c r="A1478" s="5">
        <v>1417</v>
      </c>
      <c r="B1478" s="134">
        <f>'Expenditures 15-22'!K241</f>
        <v>54982</v>
      </c>
      <c r="C1478" s="2" t="s">
        <v>593</v>
      </c>
      <c r="D1478" s="2" t="str">
        <f t="shared" si="22"/>
        <v>Error?</v>
      </c>
    </row>
    <row r="1479" spans="1:4" x14ac:dyDescent="0.2">
      <c r="A1479" s="5">
        <v>1418</v>
      </c>
      <c r="B1479" s="134">
        <f>'Expenditures 15-22'!K242</f>
        <v>12234</v>
      </c>
      <c r="C1479" s="2" t="s">
        <v>593</v>
      </c>
      <c r="D1479" s="2" t="str">
        <f t="shared" si="22"/>
        <v>Error?</v>
      </c>
    </row>
    <row r="1480" spans="1:4" x14ac:dyDescent="0.2">
      <c r="A1480" s="5">
        <v>1419</v>
      </c>
      <c r="B1480" s="134">
        <f>'Expenditures 15-22'!K243</f>
        <v>208355</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3051</v>
      </c>
      <c r="C1482" s="2" t="s">
        <v>593</v>
      </c>
      <c r="D1482" s="2" t="str">
        <f t="shared" si="22"/>
        <v>Error?</v>
      </c>
    </row>
    <row r="1483" spans="1:4" x14ac:dyDescent="0.2">
      <c r="A1483" s="5">
        <v>1422</v>
      </c>
      <c r="B1483" s="134">
        <f>'Expenditures 15-22'!K247</f>
        <v>15876</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23431</v>
      </c>
      <c r="C1488" s="2" t="s">
        <v>593</v>
      </c>
      <c r="D1488" s="2" t="str">
        <f t="shared" si="22"/>
        <v>Error?</v>
      </c>
    </row>
    <row r="1489" spans="1:4" x14ac:dyDescent="0.2">
      <c r="A1489" s="5">
        <v>1428</v>
      </c>
      <c r="B1489" s="134">
        <f>'Expenditures 15-22'!K265</f>
        <v>35354</v>
      </c>
      <c r="C1489" s="2" t="s">
        <v>593</v>
      </c>
      <c r="D1489" s="2" t="str">
        <f t="shared" si="22"/>
        <v>Error?</v>
      </c>
    </row>
    <row r="1490" spans="1:4" x14ac:dyDescent="0.2">
      <c r="A1490" s="5">
        <v>1429</v>
      </c>
      <c r="B1490" s="134">
        <f>'Expenditures 15-22'!K266</f>
        <v>722510</v>
      </c>
      <c r="C1490" s="2" t="s">
        <v>593</v>
      </c>
      <c r="D1490" s="2" t="str">
        <f t="shared" si="22"/>
        <v>Error?</v>
      </c>
    </row>
    <row r="1491" spans="1:4" x14ac:dyDescent="0.2">
      <c r="A1491" s="5">
        <v>1430</v>
      </c>
      <c r="B1491" s="134">
        <f>'Expenditures 15-22'!K267</f>
        <v>599180</v>
      </c>
      <c r="C1491" s="2" t="s">
        <v>593</v>
      </c>
      <c r="D1491" s="2" t="str">
        <f t="shared" si="22"/>
        <v>Error?</v>
      </c>
    </row>
    <row r="1492" spans="1:4" x14ac:dyDescent="0.2">
      <c r="A1492" s="5">
        <v>1431</v>
      </c>
      <c r="B1492" s="134">
        <f>'Expenditures 15-22'!K269</f>
        <v>39325</v>
      </c>
      <c r="C1492" s="2" t="s">
        <v>593</v>
      </c>
      <c r="D1492" s="2" t="str">
        <f t="shared" si="22"/>
        <v>Error?</v>
      </c>
    </row>
    <row r="1493" spans="1:4" x14ac:dyDescent="0.2">
      <c r="A1493" s="5">
        <v>1432</v>
      </c>
      <c r="B1493" s="134">
        <f>'Expenditures 15-22'!K270</f>
        <v>1729347</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54775</v>
      </c>
      <c r="C1497" s="2" t="s">
        <v>593</v>
      </c>
      <c r="D1497" s="2" t="str">
        <f t="shared" si="22"/>
        <v>Error?</v>
      </c>
    </row>
    <row r="1498" spans="1:4" x14ac:dyDescent="0.2">
      <c r="A1498" s="5">
        <v>1437</v>
      </c>
      <c r="B1498" s="134">
        <f>'Expenditures 15-22'!K275</f>
        <v>50563</v>
      </c>
      <c r="C1498" s="2" t="s">
        <v>593</v>
      </c>
      <c r="D1498" s="2" t="str">
        <f t="shared" si="22"/>
        <v>Error?</v>
      </c>
    </row>
    <row r="1499" spans="1:4" x14ac:dyDescent="0.2">
      <c r="A1499" s="10">
        <v>1438</v>
      </c>
      <c r="D1499" s="2" t="str">
        <f t="shared" si="22"/>
        <v>OK</v>
      </c>
    </row>
    <row r="1500" spans="1:4" x14ac:dyDescent="0.2">
      <c r="A1500" s="5">
        <v>1439</v>
      </c>
      <c r="B1500" s="134">
        <f>'Expenditures 15-22'!K276</f>
        <v>122939</v>
      </c>
      <c r="C1500" s="2" t="s">
        <v>593</v>
      </c>
      <c r="D1500" s="2" t="str">
        <f t="shared" si="22"/>
        <v>Error?</v>
      </c>
    </row>
    <row r="1501" spans="1:4" x14ac:dyDescent="0.2">
      <c r="A1501" s="5">
        <v>1440</v>
      </c>
      <c r="B1501" s="134">
        <f>'Expenditures 15-22'!K278</f>
        <v>11623</v>
      </c>
      <c r="C1501" s="2" t="s">
        <v>593</v>
      </c>
      <c r="D1501" s="2" t="str">
        <f t="shared" si="22"/>
        <v>Error?</v>
      </c>
    </row>
    <row r="1502" spans="1:4" x14ac:dyDescent="0.2">
      <c r="A1502" s="5">
        <v>1441</v>
      </c>
      <c r="B1502" s="134">
        <f>'Expenditures 15-22'!K279</f>
        <v>2816562</v>
      </c>
      <c r="C1502" s="2" t="s">
        <v>593</v>
      </c>
      <c r="D1502" s="2" t="str">
        <f t="shared" si="22"/>
        <v>Error?</v>
      </c>
    </row>
    <row r="1503" spans="1:4" x14ac:dyDescent="0.2">
      <c r="A1503" s="5">
        <v>1442</v>
      </c>
      <c r="B1503" s="134">
        <f>'Expenditures 15-22'!K280</f>
        <v>159797</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4606647</v>
      </c>
      <c r="C1512" s="2" t="s">
        <v>593</v>
      </c>
      <c r="D1512" s="2" t="str">
        <f t="shared" si="22"/>
        <v>Error?</v>
      </c>
    </row>
    <row r="1513" spans="1:4" x14ac:dyDescent="0.2">
      <c r="A1513" s="5">
        <v>1452</v>
      </c>
      <c r="B1513" s="134">
        <f>'Expenditures 15-22'!K296</f>
        <v>-516395</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597526</v>
      </c>
      <c r="C1517" s="2" t="s">
        <v>593</v>
      </c>
      <c r="D1517" s="2" t="str">
        <f t="shared" si="22"/>
        <v>Error?</v>
      </c>
    </row>
    <row r="1518" spans="1:4" x14ac:dyDescent="0.2">
      <c r="A1518" s="5">
        <v>1457</v>
      </c>
      <c r="B1518" s="134">
        <f>'Expenditures 15-22'!K303</f>
        <v>8791759</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653203</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52503044</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54209050</v>
      </c>
      <c r="C1630" s="2" t="s">
        <v>593</v>
      </c>
      <c r="D1630" s="2" t="str">
        <f t="shared" si="24"/>
        <v>Error?</v>
      </c>
    </row>
    <row r="1631" spans="1:4" x14ac:dyDescent="0.2">
      <c r="A1631" s="5">
        <v>1570</v>
      </c>
      <c r="B1631" s="134">
        <f>'Acct Summary 7-8'!D79</f>
        <v>4790367</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3764269</v>
      </c>
      <c r="C1644" s="2" t="s">
        <v>593</v>
      </c>
      <c r="D1644" s="2" t="str">
        <f t="shared" si="24"/>
        <v>Error?</v>
      </c>
    </row>
    <row r="1645" spans="1:4" x14ac:dyDescent="0.2">
      <c r="A1645" s="5">
        <v>1584</v>
      </c>
      <c r="B1645" s="134">
        <f>'Acct Summary 7-8'!E79</f>
        <v>1811098</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10522942</v>
      </c>
      <c r="C1658" s="2" t="s">
        <v>593</v>
      </c>
      <c r="D1658" s="2" t="str">
        <f t="shared" si="24"/>
        <v>Error?</v>
      </c>
    </row>
    <row r="1659" spans="1:4" x14ac:dyDescent="0.2">
      <c r="A1659" s="5">
        <v>1598</v>
      </c>
      <c r="B1659" s="134">
        <f>'Acct Summary 7-8'!F79</f>
        <v>-99133</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753518</v>
      </c>
      <c r="C1672" s="2" t="s">
        <v>593</v>
      </c>
      <c r="D1672" s="2" t="str">
        <f t="shared" si="25"/>
        <v>Error?</v>
      </c>
    </row>
    <row r="1673" spans="1:4" x14ac:dyDescent="0.2">
      <c r="A1673" s="5">
        <v>1612</v>
      </c>
      <c r="B1673" s="134">
        <f>'Acct Summary 7-8'!G79</f>
        <v>1517960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1001565</v>
      </c>
      <c r="C1686" s="2" t="s">
        <v>593</v>
      </c>
      <c r="D1686" s="2" t="str">
        <f t="shared" si="25"/>
        <v>Error?</v>
      </c>
    </row>
    <row r="1687" spans="1:4" x14ac:dyDescent="0.2">
      <c r="A1687" s="5">
        <v>1626</v>
      </c>
      <c r="B1687" s="134">
        <f>'Acct Summary 7-8'!H79</f>
        <v>2312726</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120953293</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71216631</v>
      </c>
      <c r="C1744" s="2" t="s">
        <v>593</v>
      </c>
      <c r="D1744" s="2" t="str">
        <f t="shared" si="26"/>
        <v>Error?</v>
      </c>
    </row>
    <row r="1745" spans="1:5" x14ac:dyDescent="0.2">
      <c r="A1745" s="5">
        <v>1684</v>
      </c>
      <c r="B1745" s="134">
        <f>'Tax Sched 23'!B5</f>
        <v>9748918</v>
      </c>
      <c r="C1745" s="2" t="s">
        <v>593</v>
      </c>
      <c r="D1745" s="2" t="str">
        <f t="shared" si="26"/>
        <v>Error?</v>
      </c>
    </row>
    <row r="1746" spans="1:5" x14ac:dyDescent="0.2">
      <c r="A1746" s="5">
        <v>1685</v>
      </c>
      <c r="B1746" s="134">
        <f>'Tax Sched 23'!B6</f>
        <v>9680064</v>
      </c>
      <c r="C1746" s="2" t="s">
        <v>593</v>
      </c>
      <c r="D1746" s="2" t="str">
        <f t="shared" si="26"/>
        <v>Error?</v>
      </c>
    </row>
    <row r="1747" spans="1:5" x14ac:dyDescent="0.2">
      <c r="A1747" s="5">
        <v>1686</v>
      </c>
      <c r="B1747" s="134">
        <f>'Tax Sched 23'!B7</f>
        <v>3973143</v>
      </c>
      <c r="C1747" s="2" t="s">
        <v>593</v>
      </c>
      <c r="D1747" s="2" t="str">
        <f t="shared" si="26"/>
        <v>Error?</v>
      </c>
    </row>
    <row r="1748" spans="1:5" x14ac:dyDescent="0.2">
      <c r="A1748" s="5">
        <v>1687</v>
      </c>
      <c r="B1748" s="134">
        <f>'Tax Sched 23'!B8</f>
        <v>3191342</v>
      </c>
      <c r="C1748" s="2" t="s">
        <v>593</v>
      </c>
      <c r="D1748" s="2" t="str">
        <f t="shared" si="26"/>
        <v>Error?</v>
      </c>
    </row>
    <row r="1749" spans="1:5" x14ac:dyDescent="0.2">
      <c r="A1749" s="5">
        <v>1688</v>
      </c>
      <c r="B1749" s="134">
        <f>'Tax Sched 23'!B10</f>
        <v>34296</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490732</v>
      </c>
      <c r="C1752" s="2" t="s">
        <v>593</v>
      </c>
      <c r="D1752" s="2" t="str">
        <f t="shared" si="26"/>
        <v>Error?</v>
      </c>
    </row>
    <row r="1753" spans="1:5" x14ac:dyDescent="0.2">
      <c r="A1753" s="5">
        <v>1692</v>
      </c>
      <c r="B1753" s="134">
        <f>'Tax Sched 23'!B12</f>
        <v>99173</v>
      </c>
      <c r="C1753" s="2" t="s">
        <v>593</v>
      </c>
      <c r="D1753" s="2" t="str">
        <f t="shared" si="26"/>
        <v>Error?</v>
      </c>
    </row>
    <row r="1754" spans="1:5" x14ac:dyDescent="0.2">
      <c r="A1754" s="5">
        <v>1693</v>
      </c>
      <c r="B1754" s="134">
        <f>'Tax Sched 23'!B14</f>
        <v>1612258</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100741807</v>
      </c>
      <c r="C1759" s="2" t="s">
        <v>593</v>
      </c>
      <c r="D1759" s="2" t="str">
        <f t="shared" si="26"/>
        <v>Error?</v>
      </c>
    </row>
    <row r="1760" spans="1:5" x14ac:dyDescent="0.2">
      <c r="A1760" s="5">
        <v>1699</v>
      </c>
      <c r="B1760" s="134">
        <f>'Tax Sched 23'!D4</f>
        <v>32779707</v>
      </c>
      <c r="C1760" s="2" t="s">
        <v>593</v>
      </c>
      <c r="D1760" s="2" t="str">
        <f t="shared" si="26"/>
        <v>Error?</v>
      </c>
    </row>
    <row r="1761" spans="1:5" x14ac:dyDescent="0.2">
      <c r="A1761" s="5">
        <v>1700</v>
      </c>
      <c r="B1761" s="134">
        <f>'Tax Sched 23'!D5</f>
        <v>4448606</v>
      </c>
      <c r="C1761" s="2" t="s">
        <v>593</v>
      </c>
      <c r="D1761" s="2" t="str">
        <f t="shared" si="26"/>
        <v>Error?</v>
      </c>
    </row>
    <row r="1762" spans="1:5" s="8" customFormat="1" x14ac:dyDescent="0.2">
      <c r="A1762" s="5">
        <v>1701</v>
      </c>
      <c r="B1762" s="134">
        <f>'Tax Sched 23'!D6</f>
        <v>480913</v>
      </c>
      <c r="C1762" s="2" t="s">
        <v>593</v>
      </c>
      <c r="D1762" s="2" t="str">
        <f t="shared" si="26"/>
        <v>Error?</v>
      </c>
      <c r="E1762" s="9"/>
    </row>
    <row r="1763" spans="1:5" x14ac:dyDescent="0.2">
      <c r="A1763" s="5">
        <v>1702</v>
      </c>
      <c r="B1763" s="134">
        <f>'Tax Sched 23'!D7</f>
        <v>1365722</v>
      </c>
      <c r="C1763" s="2" t="s">
        <v>593</v>
      </c>
      <c r="D1763" s="2" t="str">
        <f t="shared" si="26"/>
        <v>Error?</v>
      </c>
    </row>
    <row r="1764" spans="1:5" x14ac:dyDescent="0.2">
      <c r="A1764" s="5">
        <v>1703</v>
      </c>
      <c r="B1764" s="134">
        <f>'Tax Sched 23'!D8</f>
        <v>1061616</v>
      </c>
      <c r="C1764" s="2" t="s">
        <v>593</v>
      </c>
      <c r="D1764" s="2" t="str">
        <f t="shared" si="26"/>
        <v>Error?</v>
      </c>
    </row>
    <row r="1765" spans="1:5" x14ac:dyDescent="0.2">
      <c r="A1765" s="5">
        <v>1704</v>
      </c>
      <c r="B1765" s="134">
        <f>'Tax Sched 23'!D10</f>
        <v>17904</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441557</v>
      </c>
      <c r="C1768" s="2" t="s">
        <v>593</v>
      </c>
      <c r="D1768" s="2" t="str">
        <f t="shared" si="26"/>
        <v>Error?</v>
      </c>
    </row>
    <row r="1769" spans="1:5" x14ac:dyDescent="0.2">
      <c r="A1769" s="5">
        <v>1708</v>
      </c>
      <c r="B1769" s="134">
        <f>'Tax Sched 23'!D12</f>
        <v>14874</v>
      </c>
      <c r="C1769" s="2" t="s">
        <v>593</v>
      </c>
      <c r="D1769" s="2" t="str">
        <f t="shared" si="26"/>
        <v>Error?</v>
      </c>
    </row>
    <row r="1770" spans="1:5" x14ac:dyDescent="0.2">
      <c r="A1770" s="5">
        <v>1709</v>
      </c>
      <c r="B1770" s="134">
        <f>'Tax Sched 23'!D14</f>
        <v>723604</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41850617</v>
      </c>
      <c r="C1775" s="2" t="s">
        <v>593</v>
      </c>
      <c r="D1775" s="2" t="str">
        <f t="shared" si="26"/>
        <v>Error?</v>
      </c>
    </row>
    <row r="1776" spans="1:5" x14ac:dyDescent="0.2">
      <c r="A1776" s="5">
        <v>1715</v>
      </c>
      <c r="B1776" s="134">
        <f>'Tax Sched 23'!C4</f>
        <v>38436924</v>
      </c>
      <c r="D1776" s="2" t="str">
        <f t="shared" si="26"/>
        <v>Error?</v>
      </c>
    </row>
    <row r="1777" spans="1:4" x14ac:dyDescent="0.2">
      <c r="A1777" s="5">
        <v>1716</v>
      </c>
      <c r="B1777" s="134">
        <f>'Tax Sched 23'!C5</f>
        <v>5300312</v>
      </c>
      <c r="D1777" s="2" t="str">
        <f t="shared" si="26"/>
        <v>Error?</v>
      </c>
    </row>
    <row r="1778" spans="1:4" x14ac:dyDescent="0.2">
      <c r="A1778" s="5">
        <v>1717</v>
      </c>
      <c r="B1778" s="134">
        <f>'Tax Sched 23'!C6</f>
        <v>9199151</v>
      </c>
      <c r="D1778" s="2" t="str">
        <f t="shared" si="26"/>
        <v>Error?</v>
      </c>
    </row>
    <row r="1779" spans="1:4" x14ac:dyDescent="0.2">
      <c r="A1779" s="5">
        <v>1718</v>
      </c>
      <c r="B1779" s="134">
        <f>'Tax Sched 23'!C7</f>
        <v>2607421</v>
      </c>
      <c r="D1779" s="2" t="str">
        <f t="shared" si="26"/>
        <v>Error?</v>
      </c>
    </row>
    <row r="1780" spans="1:4" x14ac:dyDescent="0.2">
      <c r="A1780" s="5">
        <v>1719</v>
      </c>
      <c r="B1780" s="134">
        <f>'Tax Sched 23'!C8</f>
        <v>2129726</v>
      </c>
      <c r="D1780" s="2" t="str">
        <f t="shared" si="26"/>
        <v>Error?</v>
      </c>
    </row>
    <row r="1781" spans="1:4" x14ac:dyDescent="0.2">
      <c r="A1781" s="5">
        <v>1720</v>
      </c>
      <c r="B1781" s="134">
        <f>'Tax Sched 23'!C10</f>
        <v>16392</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49175</v>
      </c>
      <c r="D1784" s="2" t="str">
        <f t="shared" si="26"/>
        <v>Error?</v>
      </c>
    </row>
    <row r="1785" spans="1:4" x14ac:dyDescent="0.2">
      <c r="A1785" s="5">
        <v>1724</v>
      </c>
      <c r="B1785" s="134">
        <f>'Tax Sched 23'!C12</f>
        <v>84299</v>
      </c>
      <c r="D1785" s="2" t="str">
        <f t="shared" si="26"/>
        <v>Error?</v>
      </c>
    </row>
    <row r="1786" spans="1:4" x14ac:dyDescent="0.2">
      <c r="A1786" s="5">
        <v>1725</v>
      </c>
      <c r="B1786" s="134">
        <f>'Tax Sched 23'!C14</f>
        <v>888654</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58891190</v>
      </c>
      <c r="C1791" s="2" t="s">
        <v>593</v>
      </c>
      <c r="D1791" s="2" t="str">
        <f t="shared" ref="D1791:D1854" si="27">IF(ISBLANK(B1791),"OK",IF(A1791-B1791=0,"OK","Error?"))</f>
        <v>Error?</v>
      </c>
    </row>
    <row r="1792" spans="1:4" x14ac:dyDescent="0.2">
      <c r="A1792" s="5">
        <v>1731</v>
      </c>
      <c r="B1792" s="134">
        <f>'Tax Sched 23'!F4</f>
        <v>34248056</v>
      </c>
      <c r="C1792" s="2" t="s">
        <v>593</v>
      </c>
      <c r="D1792" s="2" t="str">
        <f t="shared" si="27"/>
        <v>Error?</v>
      </c>
    </row>
    <row r="1793" spans="1:4" x14ac:dyDescent="0.2">
      <c r="A1793" s="5">
        <v>1732</v>
      </c>
      <c r="B1793" s="134">
        <f>'Tax Sched 23'!F5</f>
        <v>4722683</v>
      </c>
      <c r="C1793" s="2" t="s">
        <v>593</v>
      </c>
      <c r="D1793" s="2" t="str">
        <f t="shared" si="27"/>
        <v>Error?</v>
      </c>
    </row>
    <row r="1794" spans="1:4" x14ac:dyDescent="0.2">
      <c r="A1794" s="5">
        <v>1733</v>
      </c>
      <c r="B1794" s="134">
        <f>'Tax Sched 23'!F6</f>
        <v>8196624</v>
      </c>
      <c r="C1794" s="2" t="s">
        <v>593</v>
      </c>
      <c r="D1794" s="2" t="str">
        <f t="shared" si="27"/>
        <v>Error?</v>
      </c>
    </row>
    <row r="1795" spans="1:4" x14ac:dyDescent="0.2">
      <c r="A1795" s="5">
        <v>1734</v>
      </c>
      <c r="B1795" s="134">
        <f>'Tax Sched 23'!F7</f>
        <v>2323264</v>
      </c>
      <c r="C1795" s="2" t="s">
        <v>593</v>
      </c>
      <c r="D1795" s="2" t="str">
        <f t="shared" si="27"/>
        <v>Error?</v>
      </c>
    </row>
    <row r="1796" spans="1:4" x14ac:dyDescent="0.2">
      <c r="A1796" s="5">
        <v>1735</v>
      </c>
      <c r="B1796" s="134">
        <f>'Tax Sched 23'!F8</f>
        <v>1897627</v>
      </c>
      <c r="C1796" s="2" t="s">
        <v>593</v>
      </c>
      <c r="D1796" s="2" t="str">
        <f t="shared" si="27"/>
        <v>Error?</v>
      </c>
    </row>
    <row r="1797" spans="1:4" x14ac:dyDescent="0.2">
      <c r="A1797" s="5">
        <v>1736</v>
      </c>
      <c r="B1797" s="134">
        <f>'Tax Sched 23'!F10</f>
        <v>14605</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43815</v>
      </c>
      <c r="C1800" s="2" t="s">
        <v>593</v>
      </c>
      <c r="D1800" s="2" t="str">
        <f t="shared" si="27"/>
        <v>Error?</v>
      </c>
    </row>
    <row r="1801" spans="1:4" x14ac:dyDescent="0.2">
      <c r="A1801" s="5">
        <v>1740</v>
      </c>
      <c r="B1801" s="134">
        <f>'Tax Sched 23'!F12</f>
        <v>75112</v>
      </c>
      <c r="C1801" s="2" t="s">
        <v>593</v>
      </c>
      <c r="D1801" s="2" t="str">
        <f t="shared" si="27"/>
        <v>Error?</v>
      </c>
    </row>
    <row r="1802" spans="1:4" x14ac:dyDescent="0.2">
      <c r="A1802" s="5">
        <v>1741</v>
      </c>
      <c r="B1802" s="134">
        <f>'Tax Sched 23'!F14</f>
        <v>791808</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52473207</v>
      </c>
      <c r="C1807" s="2" t="s">
        <v>593</v>
      </c>
      <c r="D1807" s="2" t="str">
        <f t="shared" si="27"/>
        <v>Error?</v>
      </c>
    </row>
    <row r="1808" spans="1:4" x14ac:dyDescent="0.2">
      <c r="A1808" s="5">
        <v>1747</v>
      </c>
      <c r="B1808" s="134">
        <f>'Tax Sched 23'!E4</f>
        <v>72684980</v>
      </c>
      <c r="D1808" s="2" t="str">
        <f t="shared" si="27"/>
        <v>Error?</v>
      </c>
    </row>
    <row r="1809" spans="1:4" x14ac:dyDescent="0.2">
      <c r="A1809" s="5">
        <v>1748</v>
      </c>
      <c r="B1809" s="134">
        <f>'Tax Sched 23'!E5</f>
        <v>10022995</v>
      </c>
      <c r="D1809" s="2" t="str">
        <f t="shared" si="27"/>
        <v>Error?</v>
      </c>
    </row>
    <row r="1810" spans="1:4" x14ac:dyDescent="0.2">
      <c r="A1810" s="5">
        <v>1749</v>
      </c>
      <c r="B1810" s="134">
        <f>'Tax Sched 23'!E6</f>
        <v>17395775</v>
      </c>
      <c r="D1810" s="2" t="str">
        <f t="shared" si="27"/>
        <v>Error?</v>
      </c>
    </row>
    <row r="1811" spans="1:4" x14ac:dyDescent="0.2">
      <c r="A1811" s="5">
        <v>1750</v>
      </c>
      <c r="B1811" s="134">
        <f>'Tax Sched 23'!E7</f>
        <v>4930685</v>
      </c>
      <c r="D1811" s="2" t="str">
        <f t="shared" si="27"/>
        <v>Error?</v>
      </c>
    </row>
    <row r="1812" spans="1:4" x14ac:dyDescent="0.2">
      <c r="A1812" s="5">
        <v>1751</v>
      </c>
      <c r="B1812" s="134">
        <f>'Tax Sched 23'!E8</f>
        <v>4027353</v>
      </c>
      <c r="D1812" s="2" t="str">
        <f t="shared" si="27"/>
        <v>Error?</v>
      </c>
    </row>
    <row r="1813" spans="1:4" x14ac:dyDescent="0.2">
      <c r="A1813" s="5">
        <v>1752</v>
      </c>
      <c r="B1813" s="134">
        <f>'Tax Sched 23'!E10</f>
        <v>30997</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92990</v>
      </c>
      <c r="D1816" s="2" t="str">
        <f t="shared" si="27"/>
        <v>Error?</v>
      </c>
    </row>
    <row r="1817" spans="1:4" x14ac:dyDescent="0.2">
      <c r="A1817" s="5">
        <v>1756</v>
      </c>
      <c r="B1817" s="134">
        <f>'Tax Sched 23'!E12</f>
        <v>159411</v>
      </c>
      <c r="D1817" s="2" t="str">
        <f t="shared" si="27"/>
        <v>Error?</v>
      </c>
    </row>
    <row r="1818" spans="1:4" x14ac:dyDescent="0.2">
      <c r="A1818" s="5">
        <v>1757</v>
      </c>
      <c r="B1818" s="134">
        <f>'Tax Sched 23'!E14</f>
        <v>1680462</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111364397</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102019708</v>
      </c>
      <c r="C1939" s="2" t="s">
        <v>593</v>
      </c>
      <c r="D1939" s="2" t="str">
        <f t="shared" si="29"/>
        <v>Error?</v>
      </c>
    </row>
    <row r="1940" spans="1:5" x14ac:dyDescent="0.2">
      <c r="A1940" s="5">
        <v>1879</v>
      </c>
      <c r="B1940" s="134">
        <f>'Short-Term Long-Term Debt 24'!F49</f>
        <v>110000000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1612258</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1612258</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1612258</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6763833</v>
      </c>
      <c r="D2008" s="2" t="str">
        <f t="shared" si="30"/>
        <v>Error?</v>
      </c>
    </row>
    <row r="2009" spans="1:4" x14ac:dyDescent="0.2">
      <c r="A2009" s="5">
        <v>1948</v>
      </c>
      <c r="B2009" s="134">
        <f>'Cap Outlay Deprec 26'!C8</f>
        <v>131287732</v>
      </c>
      <c r="D2009" s="2" t="str">
        <f t="shared" si="30"/>
        <v>Error?</v>
      </c>
    </row>
    <row r="2010" spans="1:4" x14ac:dyDescent="0.2">
      <c r="A2010" s="5">
        <v>1949</v>
      </c>
      <c r="B2010" s="134">
        <f>'Cap Outlay Deprec 26'!C10</f>
        <v>0</v>
      </c>
      <c r="D2010" s="2" t="str">
        <f t="shared" si="30"/>
        <v>Error?</v>
      </c>
    </row>
    <row r="2011" spans="1:4" x14ac:dyDescent="0.2">
      <c r="A2011" s="5">
        <v>1950</v>
      </c>
      <c r="B2011" s="134">
        <f>'Cap Outlay Deprec 26'!C12</f>
        <v>16144246</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160904294</v>
      </c>
      <c r="C2013" s="2" t="s">
        <v>593</v>
      </c>
      <c r="D2013" s="2" t="str">
        <f t="shared" si="30"/>
        <v>Error?</v>
      </c>
    </row>
    <row r="2014" spans="1:4" x14ac:dyDescent="0.2">
      <c r="A2014" s="5">
        <v>1953</v>
      </c>
      <c r="B2014" s="134">
        <f>'Cap Outlay Deprec 26'!D5</f>
        <v>3421034</v>
      </c>
      <c r="D2014" s="2" t="str">
        <f t="shared" si="30"/>
        <v>Error?</v>
      </c>
    </row>
    <row r="2015" spans="1:4" x14ac:dyDescent="0.2">
      <c r="A2015" s="5">
        <v>1954</v>
      </c>
      <c r="B2015" s="134">
        <f>'Cap Outlay Deprec 26'!D8</f>
        <v>6979640</v>
      </c>
      <c r="D2015" s="2" t="str">
        <f t="shared" si="30"/>
        <v>Error?</v>
      </c>
    </row>
    <row r="2016" spans="1:4" x14ac:dyDescent="0.2">
      <c r="A2016" s="5">
        <v>1955</v>
      </c>
      <c r="B2016" s="134">
        <f>'Cap Outlay Deprec 26'!D10</f>
        <v>0</v>
      </c>
      <c r="D2016" s="2" t="str">
        <f t="shared" si="30"/>
        <v>Error?</v>
      </c>
    </row>
    <row r="2017" spans="1:4" x14ac:dyDescent="0.2">
      <c r="A2017" s="5">
        <v>1956</v>
      </c>
      <c r="B2017" s="134">
        <f>'Cap Outlay Deprec 26'!D12</f>
        <v>835936</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16439721</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1186940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4729453</v>
      </c>
      <c r="C2025" s="2" t="s">
        <v>593</v>
      </c>
      <c r="D2025" s="2" t="str">
        <f t="shared" si="30"/>
        <v>Error?</v>
      </c>
    </row>
    <row r="2026" spans="1:4" x14ac:dyDescent="0.2">
      <c r="A2026" s="5">
        <v>1965</v>
      </c>
      <c r="B2026" s="134">
        <f>'Cap Outlay Deprec 26'!F5</f>
        <v>10184867</v>
      </c>
      <c r="C2026" s="2" t="s">
        <v>593</v>
      </c>
      <c r="D2026" s="2" t="str">
        <f t="shared" si="30"/>
        <v>Error?</v>
      </c>
    </row>
    <row r="2027" spans="1:4" x14ac:dyDescent="0.2">
      <c r="A2027" s="5">
        <v>1966</v>
      </c>
      <c r="B2027" s="134">
        <f>'Cap Outlay Deprec 26'!F8</f>
        <v>138267372</v>
      </c>
      <c r="C2027" s="2" t="s">
        <v>593</v>
      </c>
      <c r="D2027" s="2" t="str">
        <f t="shared" si="30"/>
        <v>Error?</v>
      </c>
    </row>
    <row r="2028" spans="1:4" x14ac:dyDescent="0.2">
      <c r="A2028" s="5">
        <v>1967</v>
      </c>
      <c r="B2028" s="134">
        <f>'Cap Outlay Deprec 26'!F10</f>
        <v>0</v>
      </c>
      <c r="C2028" s="2" t="s">
        <v>593</v>
      </c>
      <c r="D2028" s="2" t="str">
        <f t="shared" si="30"/>
        <v>Error?</v>
      </c>
    </row>
    <row r="2029" spans="1:4" x14ac:dyDescent="0.2">
      <c r="A2029" s="5">
        <v>1968</v>
      </c>
      <c r="B2029" s="134">
        <f>'Cap Outlay Deprec 26'!F12</f>
        <v>15793242</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172614562</v>
      </c>
      <c r="C2031" s="2" t="s">
        <v>593</v>
      </c>
      <c r="D2031" s="2" t="str">
        <f t="shared" si="30"/>
        <v>Error?</v>
      </c>
    </row>
    <row r="2032" spans="1:4" x14ac:dyDescent="0.2">
      <c r="A2032" s="10">
        <v>1971</v>
      </c>
      <c r="D2032" s="2" t="str">
        <f t="shared" si="30"/>
        <v>OK</v>
      </c>
    </row>
    <row r="2033" spans="1:4" x14ac:dyDescent="0.2">
      <c r="A2033" s="5">
        <v>1972</v>
      </c>
      <c r="B2033" s="134">
        <f>'Cap Outlay Deprec 26'!H8</f>
        <v>35409239</v>
      </c>
      <c r="D2033" s="2" t="str">
        <f t="shared" si="30"/>
        <v>Error?</v>
      </c>
    </row>
    <row r="2034" spans="1:4" x14ac:dyDescent="0.2">
      <c r="A2034" s="5">
        <v>1973</v>
      </c>
      <c r="B2034" s="134">
        <f>'Cap Outlay Deprec 26'!H10</f>
        <v>0</v>
      </c>
      <c r="D2034" s="2" t="str">
        <f t="shared" si="30"/>
        <v>Error?</v>
      </c>
    </row>
    <row r="2035" spans="1:4" x14ac:dyDescent="0.2">
      <c r="A2035" s="5">
        <v>1974</v>
      </c>
      <c r="B2035" s="134">
        <f>'Cap Outlay Deprec 26'!H12</f>
        <v>14505056</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52478664</v>
      </c>
      <c r="C2037" s="2" t="s">
        <v>593</v>
      </c>
      <c r="D2037" s="2" t="str">
        <f t="shared" si="30"/>
        <v>Error?</v>
      </c>
    </row>
    <row r="2038" spans="1:4" x14ac:dyDescent="0.2">
      <c r="A2038" s="10">
        <v>1977</v>
      </c>
      <c r="D2038" s="2" t="str">
        <f t="shared" si="30"/>
        <v>OK</v>
      </c>
    </row>
    <row r="2039" spans="1:4" x14ac:dyDescent="0.2">
      <c r="A2039" s="5">
        <v>1978</v>
      </c>
      <c r="B2039" s="134">
        <f>'Cap Outlay Deprec 26'!I8</f>
        <v>2765347</v>
      </c>
      <c r="D2039" s="2" t="str">
        <f t="shared" si="30"/>
        <v>Error?</v>
      </c>
    </row>
    <row r="2040" spans="1:4" x14ac:dyDescent="0.2">
      <c r="A2040" s="5">
        <v>1979</v>
      </c>
      <c r="B2040" s="134">
        <f>'Cap Outlay Deprec 26'!I10</f>
        <v>0</v>
      </c>
      <c r="D2040" s="2" t="str">
        <f t="shared" si="30"/>
        <v>Error?</v>
      </c>
    </row>
    <row r="2041" spans="1:4" x14ac:dyDescent="0.2">
      <c r="A2041" s="5">
        <v>1980</v>
      </c>
      <c r="B2041" s="134">
        <f>'Cap Outlay Deprec 26'!I12</f>
        <v>1579324</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4409841</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421549</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421549</v>
      </c>
      <c r="C2049" s="2" t="s">
        <v>593</v>
      </c>
      <c r="D2049" s="2" t="str">
        <f t="shared" si="31"/>
        <v>Error?</v>
      </c>
    </row>
    <row r="2050" spans="1:4" x14ac:dyDescent="0.2">
      <c r="A2050" s="10">
        <v>1989</v>
      </c>
      <c r="D2050" s="2" t="str">
        <f t="shared" si="31"/>
        <v>OK</v>
      </c>
    </row>
    <row r="2051" spans="1:4" x14ac:dyDescent="0.2">
      <c r="A2051" s="5">
        <v>1990</v>
      </c>
      <c r="B2051" s="134">
        <f>'Cap Outlay Deprec 26'!K8</f>
        <v>38174586</v>
      </c>
      <c r="C2051" s="2" t="s">
        <v>593</v>
      </c>
      <c r="D2051" s="2" t="str">
        <f t="shared" si="31"/>
        <v>Error?</v>
      </c>
    </row>
    <row r="2052" spans="1:4" x14ac:dyDescent="0.2">
      <c r="A2052" s="5">
        <v>1991</v>
      </c>
      <c r="B2052" s="134">
        <f>'Cap Outlay Deprec 26'!K10</f>
        <v>0</v>
      </c>
      <c r="C2052" s="2" t="s">
        <v>593</v>
      </c>
      <c r="D2052" s="2" t="str">
        <f t="shared" si="31"/>
        <v>Error?</v>
      </c>
    </row>
    <row r="2053" spans="1:4" x14ac:dyDescent="0.2">
      <c r="A2053" s="5">
        <v>1992</v>
      </c>
      <c r="B2053" s="134">
        <f>'Cap Outlay Deprec 26'!K12</f>
        <v>15662831</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56466956</v>
      </c>
      <c r="C2055" s="2" t="s">
        <v>593</v>
      </c>
      <c r="D2055" s="2" t="str">
        <f t="shared" si="31"/>
        <v>Error?</v>
      </c>
    </row>
    <row r="2056" spans="1:4" x14ac:dyDescent="0.2">
      <c r="A2056" s="5">
        <v>1995</v>
      </c>
      <c r="B2056" s="134">
        <f>'Cap Outlay Deprec 26'!L5</f>
        <v>10184867</v>
      </c>
      <c r="C2056" s="2" t="s">
        <v>593</v>
      </c>
      <c r="D2056" s="2" t="str">
        <f t="shared" si="31"/>
        <v>Error?</v>
      </c>
    </row>
    <row r="2057" spans="1:4" x14ac:dyDescent="0.2">
      <c r="A2057" s="5">
        <v>1996</v>
      </c>
      <c r="B2057" s="134">
        <f>'Cap Outlay Deprec 26'!L8</f>
        <v>100092786</v>
      </c>
      <c r="C2057" s="2" t="s">
        <v>593</v>
      </c>
      <c r="D2057" s="2" t="str">
        <f t="shared" si="31"/>
        <v>Error?</v>
      </c>
    </row>
    <row r="2058" spans="1:4" x14ac:dyDescent="0.2">
      <c r="A2058" s="5">
        <v>1997</v>
      </c>
      <c r="B2058" s="134">
        <f>'Cap Outlay Deprec 26'!L10</f>
        <v>0</v>
      </c>
      <c r="C2058" s="2" t="s">
        <v>593</v>
      </c>
      <c r="D2058" s="2" t="str">
        <f t="shared" si="31"/>
        <v>Error?</v>
      </c>
    </row>
    <row r="2059" spans="1:4" x14ac:dyDescent="0.2">
      <c r="A2059" s="5">
        <v>1998</v>
      </c>
      <c r="B2059" s="134">
        <f>'Cap Outlay Deprec 26'!L12</f>
        <v>130411</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116147606</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495070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495150</v>
      </c>
      <c r="C2088" s="2" t="s">
        <v>593</v>
      </c>
      <c r="D2088" s="2" t="str">
        <f t="shared" si="31"/>
        <v>Error?</v>
      </c>
    </row>
    <row r="2089" spans="1:4" x14ac:dyDescent="0.2">
      <c r="A2089" s="5">
        <v>2028</v>
      </c>
      <c r="B2089" s="134">
        <f>'Expenditures 15-22'!K92</f>
        <v>0</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64179</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765230</v>
      </c>
      <c r="D2435" s="2" t="str">
        <f t="shared" si="37"/>
        <v>Error?</v>
      </c>
    </row>
    <row r="2436" spans="1:4" x14ac:dyDescent="0.2">
      <c r="A2436" s="10">
        <v>2375</v>
      </c>
      <c r="D2436" s="2" t="str">
        <f t="shared" si="37"/>
        <v>OK</v>
      </c>
    </row>
    <row r="2437" spans="1:4" x14ac:dyDescent="0.2">
      <c r="A2437" s="5">
        <v>2376</v>
      </c>
      <c r="B2437" s="134">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3133405</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889853</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78066041</v>
      </c>
      <c r="C2551" s="2" t="s">
        <v>593</v>
      </c>
      <c r="D2551" s="2" t="str">
        <f t="shared" si="38"/>
        <v>Error?</v>
      </c>
    </row>
    <row r="2552" spans="1:4" x14ac:dyDescent="0.2">
      <c r="A2552" s="10">
        <v>2491</v>
      </c>
      <c r="D2552" s="2" t="str">
        <f t="shared" si="38"/>
        <v>OK</v>
      </c>
    </row>
    <row r="2553" spans="1:4" x14ac:dyDescent="0.2">
      <c r="A2553" s="5">
        <v>2492</v>
      </c>
      <c r="B2553" s="134">
        <f>'Acct Summary 7-8'!C6</f>
        <v>19872947</v>
      </c>
      <c r="C2553" s="2" t="s">
        <v>593</v>
      </c>
      <c r="D2553" s="2" t="str">
        <f t="shared" si="38"/>
        <v>Error?</v>
      </c>
    </row>
    <row r="2554" spans="1:4" x14ac:dyDescent="0.2">
      <c r="A2554" s="5">
        <v>2493</v>
      </c>
      <c r="B2554" s="134">
        <f>'Acct Summary 7-8'!C7</f>
        <v>11258148</v>
      </c>
      <c r="C2554" s="2" t="s">
        <v>593</v>
      </c>
      <c r="D2554" s="2" t="str">
        <f t="shared" si="38"/>
        <v>Error?</v>
      </c>
    </row>
    <row r="2555" spans="1:4" x14ac:dyDescent="0.2">
      <c r="A2555" s="5">
        <v>2494</v>
      </c>
      <c r="B2555" s="134">
        <f>'Acct Summary 7-8'!C8</f>
        <v>109197136</v>
      </c>
      <c r="C2555" s="2" t="s">
        <v>593</v>
      </c>
      <c r="D2555" s="2" t="str">
        <f t="shared" si="38"/>
        <v>Error?</v>
      </c>
    </row>
    <row r="2556" spans="1:4" x14ac:dyDescent="0.2">
      <c r="A2556" s="5">
        <v>2495</v>
      </c>
      <c r="B2556" s="134">
        <f>'Acct Summary 7-8'!C12</f>
        <v>69272233</v>
      </c>
      <c r="C2556" s="2" t="s">
        <v>593</v>
      </c>
      <c r="D2556" s="2" t="str">
        <f t="shared" si="38"/>
        <v>Error?</v>
      </c>
    </row>
    <row r="2557" spans="1:4" x14ac:dyDescent="0.2">
      <c r="A2557" s="5">
        <v>2496</v>
      </c>
      <c r="B2557" s="134">
        <f>'Acct Summary 7-8'!C13</f>
        <v>36358531</v>
      </c>
      <c r="C2557" s="2" t="s">
        <v>593</v>
      </c>
      <c r="D2557" s="2" t="str">
        <f t="shared" si="38"/>
        <v>Error?</v>
      </c>
    </row>
    <row r="2558" spans="1:4" x14ac:dyDescent="0.2">
      <c r="A2558" s="5">
        <v>2497</v>
      </c>
      <c r="B2558" s="134">
        <f>'Acct Summary 7-8'!C14</f>
        <v>1504855</v>
      </c>
      <c r="C2558" s="2" t="s">
        <v>593</v>
      </c>
      <c r="D2558" s="2" t="str">
        <f t="shared" si="38"/>
        <v>Error?</v>
      </c>
    </row>
    <row r="2559" spans="1:4" x14ac:dyDescent="0.2">
      <c r="A2559" s="5">
        <v>2498</v>
      </c>
      <c r="B2559" s="134">
        <f>'Acct Summary 7-8'!C15</f>
        <v>495150</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107630769</v>
      </c>
      <c r="C2561" s="2" t="s">
        <v>593</v>
      </c>
      <c r="D2561" s="2" t="str">
        <f t="shared" si="39"/>
        <v>Error?</v>
      </c>
    </row>
    <row r="2562" spans="1:4" x14ac:dyDescent="0.2">
      <c r="A2562" s="5">
        <v>2501</v>
      </c>
      <c r="B2562" s="134">
        <f>'Acct Summary 7-8'!C20</f>
        <v>1566367</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9904147</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9904147</v>
      </c>
      <c r="C2568" s="2" t="s">
        <v>593</v>
      </c>
      <c r="D2568" s="2" t="str">
        <f t="shared" si="39"/>
        <v>Error?</v>
      </c>
    </row>
    <row r="2569" spans="1:4" x14ac:dyDescent="0.2">
      <c r="A2569" s="5">
        <v>2508</v>
      </c>
      <c r="B2569" s="134">
        <f>'Acct Summary 7-8'!D13</f>
        <v>13622382</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13622382</v>
      </c>
      <c r="C2573" s="2" t="s">
        <v>593</v>
      </c>
      <c r="D2573" s="2" t="str">
        <f t="shared" si="39"/>
        <v>Error?</v>
      </c>
    </row>
    <row r="2574" spans="1:4" x14ac:dyDescent="0.2">
      <c r="A2574" s="5">
        <v>2513</v>
      </c>
      <c r="B2574" s="134">
        <f>'Acct Summary 7-8'!D20</f>
        <v>-3718235</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4701747</v>
      </c>
      <c r="C2591" s="2" t="s">
        <v>593</v>
      </c>
      <c r="D2591" s="2" t="str">
        <f t="shared" si="39"/>
        <v>Error?</v>
      </c>
    </row>
    <row r="2592" spans="1:4" x14ac:dyDescent="0.2">
      <c r="A2592" s="10">
        <v>2531</v>
      </c>
      <c r="D2592" s="2" t="str">
        <f t="shared" si="39"/>
        <v>OK</v>
      </c>
    </row>
    <row r="2593" spans="1:4" x14ac:dyDescent="0.2">
      <c r="A2593" s="5">
        <v>2532</v>
      </c>
      <c r="B2593" s="134">
        <f>'Acct Summary 7-8'!F6</f>
        <v>2943654</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7645401</v>
      </c>
      <c r="C2595" s="2" t="s">
        <v>593</v>
      </c>
      <c r="D2595" s="2" t="str">
        <f t="shared" si="39"/>
        <v>Error?</v>
      </c>
    </row>
    <row r="2596" spans="1:4" x14ac:dyDescent="0.2">
      <c r="A2596" s="5">
        <v>2535</v>
      </c>
      <c r="B2596" s="134">
        <f>'Acct Summary 7-8'!F13</f>
        <v>6702805</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487830</v>
      </c>
      <c r="C2599" s="2" t="s">
        <v>593</v>
      </c>
      <c r="D2599" s="2" t="str">
        <f t="shared" si="39"/>
        <v>Error?</v>
      </c>
    </row>
    <row r="2600" spans="1:4" x14ac:dyDescent="0.2">
      <c r="A2600" s="5">
        <v>2539</v>
      </c>
      <c r="B2600" s="134">
        <f>'Acct Summary 7-8'!F17</f>
        <v>7190635</v>
      </c>
      <c r="C2600" s="2" t="s">
        <v>593</v>
      </c>
      <c r="D2600" s="2" t="str">
        <f t="shared" si="39"/>
        <v>Error?</v>
      </c>
    </row>
    <row r="2601" spans="1:4" x14ac:dyDescent="0.2">
      <c r="A2601" s="5">
        <v>2540</v>
      </c>
      <c r="B2601" s="134">
        <f>'Acct Summary 7-8'!F20</f>
        <v>454766</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4090252</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4090252</v>
      </c>
      <c r="C2606" s="2" t="s">
        <v>593</v>
      </c>
      <c r="D2606" s="2" t="str">
        <f t="shared" si="39"/>
        <v>Error?</v>
      </c>
    </row>
    <row r="2607" spans="1:4" x14ac:dyDescent="0.2">
      <c r="A2607" s="5">
        <v>2546</v>
      </c>
      <c r="B2607" s="134">
        <f>'Acct Summary 7-8'!G12</f>
        <v>1630288</v>
      </c>
      <c r="C2607" s="2" t="s">
        <v>593</v>
      </c>
      <c r="D2607" s="2" t="str">
        <f t="shared" si="39"/>
        <v>Error?</v>
      </c>
    </row>
    <row r="2608" spans="1:4" x14ac:dyDescent="0.2">
      <c r="A2608" s="5">
        <v>2547</v>
      </c>
      <c r="B2608" s="134">
        <f>'Acct Summary 7-8'!G13</f>
        <v>2816562</v>
      </c>
      <c r="C2608" s="2" t="s">
        <v>593</v>
      </c>
      <c r="D2608" s="2" t="str">
        <f t="shared" si="39"/>
        <v>Error?</v>
      </c>
    </row>
    <row r="2609" spans="1:4" x14ac:dyDescent="0.2">
      <c r="A2609" s="5">
        <v>2548</v>
      </c>
      <c r="B2609" s="134">
        <f>'Acct Summary 7-8'!G14</f>
        <v>159797</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4606647</v>
      </c>
      <c r="C2612" s="2" t="s">
        <v>593</v>
      </c>
      <c r="D2612" s="2" t="str">
        <f t="shared" si="39"/>
        <v>Error?</v>
      </c>
    </row>
    <row r="2613" spans="1:4" x14ac:dyDescent="0.2">
      <c r="A2613" s="5">
        <v>2552</v>
      </c>
      <c r="B2613" s="134">
        <f>'Acct Summary 7-8'!G20</f>
        <v>-516395</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15956553</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17372476</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9434143</v>
      </c>
      <c r="C2634" s="2" t="s">
        <v>593</v>
      </c>
      <c r="D2634" s="2" t="str">
        <f t="shared" si="40"/>
        <v>Error?</v>
      </c>
    </row>
    <row r="2635" spans="1:4" x14ac:dyDescent="0.2">
      <c r="A2635" s="5">
        <v>2574</v>
      </c>
      <c r="B2635" s="134">
        <f>'Acct Summary 7-8'!E17</f>
        <v>9434143</v>
      </c>
      <c r="C2635" s="2" t="s">
        <v>593</v>
      </c>
      <c r="D2635" s="2" t="str">
        <f t="shared" si="40"/>
        <v>Error?</v>
      </c>
    </row>
    <row r="2636" spans="1:4" x14ac:dyDescent="0.2">
      <c r="A2636" s="5">
        <v>2575</v>
      </c>
      <c r="B2636" s="134">
        <f>'Acct Summary 7-8'!E20</f>
        <v>7938333</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2332827</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2332827</v>
      </c>
      <c r="C2658" s="2" t="s">
        <v>593</v>
      </c>
      <c r="D2658" s="2" t="str">
        <f t="shared" si="40"/>
        <v>Error?</v>
      </c>
    </row>
    <row r="2659" spans="1:4" x14ac:dyDescent="0.2">
      <c r="A2659" s="5">
        <v>2598</v>
      </c>
      <c r="B2659" s="134">
        <f>'Acct Summary 7-8'!H13</f>
        <v>8791759</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8791759</v>
      </c>
      <c r="C2661" s="2" t="s">
        <v>593</v>
      </c>
      <c r="D2661" s="2" t="str">
        <f t="shared" si="40"/>
        <v>Error?</v>
      </c>
    </row>
    <row r="2662" spans="1:4" x14ac:dyDescent="0.2">
      <c r="A2662" s="5">
        <v>2601</v>
      </c>
      <c r="B2662" s="134">
        <f>'Acct Summary 7-8'!H20</f>
        <v>-6458932</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131738</v>
      </c>
      <c r="D2718" s="2" t="str">
        <f t="shared" si="41"/>
        <v>Error?</v>
      </c>
    </row>
    <row r="2719" spans="1:4" x14ac:dyDescent="0.2">
      <c r="A2719" s="5">
        <v>2658</v>
      </c>
      <c r="B2719" s="134">
        <f>'Expenditures 15-22'!D51</f>
        <v>21015</v>
      </c>
      <c r="D2719" s="2" t="str">
        <f t="shared" si="41"/>
        <v>Error?</v>
      </c>
    </row>
    <row r="2720" spans="1:4" x14ac:dyDescent="0.2">
      <c r="A2720" s="5">
        <v>2659</v>
      </c>
      <c r="B2720" s="134">
        <f>'Expenditures 15-22'!E51</f>
        <v>16153</v>
      </c>
      <c r="D2720" s="2" t="str">
        <f t="shared" si="41"/>
        <v>Error?</v>
      </c>
    </row>
    <row r="2721" spans="1:4" x14ac:dyDescent="0.2">
      <c r="A2721" s="5">
        <v>2660</v>
      </c>
      <c r="B2721" s="134">
        <f>'Expenditures 15-22'!F51</f>
        <v>6572</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59</v>
      </c>
      <c r="D2723" s="2" t="str">
        <f t="shared" si="41"/>
        <v>Error?</v>
      </c>
    </row>
    <row r="2724" spans="1:4" x14ac:dyDescent="0.2">
      <c r="A2724" s="5">
        <v>2663</v>
      </c>
      <c r="B2724" s="134">
        <f>'Expenditures 15-22'!K51</f>
        <v>175537</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80</v>
      </c>
      <c r="C2789" s="2" t="s">
        <v>593</v>
      </c>
      <c r="D2789" s="2" t="str">
        <f t="shared" si="42"/>
        <v>Error?</v>
      </c>
    </row>
    <row r="2790" spans="1:4" x14ac:dyDescent="0.2">
      <c r="A2790" s="5">
        <v>2729</v>
      </c>
      <c r="B2790" s="134">
        <f>'Expenditures 15-22'!E102</f>
        <v>80</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487830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487830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5110559</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14295</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51332</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12734282</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1003958</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65627</v>
      </c>
      <c r="D2908" s="2" t="str">
        <f t="shared" si="44"/>
        <v>Error?</v>
      </c>
    </row>
    <row r="2909" spans="1:4" x14ac:dyDescent="0.2">
      <c r="A2909" s="10">
        <v>2848</v>
      </c>
      <c r="D2909" s="2" t="str">
        <f t="shared" si="44"/>
        <v>OK</v>
      </c>
    </row>
    <row r="2910" spans="1:4" x14ac:dyDescent="0.2">
      <c r="A2910" s="5">
        <v>2849</v>
      </c>
      <c r="B2910" s="134">
        <f>'Assets-Liab 5-6'!I34</f>
        <v>65627</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12668655</v>
      </c>
      <c r="D2912" s="2" t="str">
        <f t="shared" si="44"/>
        <v>Error?</v>
      </c>
    </row>
    <row r="2913" spans="1:4" x14ac:dyDescent="0.2">
      <c r="A2913" s="5">
        <v>2852</v>
      </c>
      <c r="B2913" s="134">
        <f>'Assets-Liab 5-6'!I41</f>
        <v>12734282</v>
      </c>
      <c r="C2913" s="2" t="s">
        <v>593</v>
      </c>
      <c r="D2913" s="2" t="str">
        <f t="shared" si="44"/>
        <v>Error?</v>
      </c>
    </row>
    <row r="2914" spans="1:4" x14ac:dyDescent="0.2">
      <c r="A2914" s="5">
        <v>2853</v>
      </c>
      <c r="B2914" s="134">
        <f>'Assets-Liab 5-6'!L33</f>
        <v>1003958</v>
      </c>
      <c r="D2914" s="2" t="str">
        <f t="shared" si="44"/>
        <v>Error?</v>
      </c>
    </row>
    <row r="2915" spans="1:4" x14ac:dyDescent="0.2">
      <c r="A2915" s="10">
        <v>2854</v>
      </c>
      <c r="D2915" s="2" t="str">
        <f t="shared" si="44"/>
        <v>OK</v>
      </c>
    </row>
    <row r="2916" spans="1:4" x14ac:dyDescent="0.2">
      <c r="A2916" s="5">
        <v>2855</v>
      </c>
      <c r="B2916" s="134">
        <f>'Assets-Liab 5-6'!L34</f>
        <v>1003958</v>
      </c>
      <c r="C2916" s="2" t="s">
        <v>593</v>
      </c>
      <c r="D2916" s="2" t="str">
        <f t="shared" si="44"/>
        <v>Error?</v>
      </c>
    </row>
    <row r="2917" spans="1:4" x14ac:dyDescent="0.2">
      <c r="A2917" s="5">
        <v>2856</v>
      </c>
      <c r="B2917" s="134">
        <f>'Assets-Liab 5-6'!L41</f>
        <v>1003958</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80</v>
      </c>
      <c r="D2949" s="2" t="str">
        <f t="shared" si="45"/>
        <v>Error?</v>
      </c>
    </row>
    <row r="2950" spans="1:4" x14ac:dyDescent="0.2">
      <c r="A2950" s="5">
        <v>2889</v>
      </c>
      <c r="B2950" s="134">
        <f>'Expenditures 15-22'!E79</f>
        <v>0</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495070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495150</v>
      </c>
      <c r="C2973" s="2" t="s">
        <v>593</v>
      </c>
      <c r="D2973" s="2" t="str">
        <f t="shared" si="45"/>
        <v>Error?</v>
      </c>
    </row>
    <row r="2974" spans="1:4" x14ac:dyDescent="0.2">
      <c r="A2974" s="5">
        <v>2913</v>
      </c>
      <c r="B2974" s="134">
        <f>'Expenditures 15-22'!K79</f>
        <v>0</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1168286</v>
      </c>
      <c r="D3055" s="2" t="str">
        <f t="shared" si="46"/>
        <v>Error?</v>
      </c>
    </row>
    <row r="3056" spans="1:4" x14ac:dyDescent="0.2">
      <c r="A3056" s="5">
        <v>2995</v>
      </c>
      <c r="B3056" s="134">
        <f>'Expenditures 15-22'!D10</f>
        <v>302894</v>
      </c>
      <c r="D3056" s="2" t="str">
        <f t="shared" si="46"/>
        <v>Error?</v>
      </c>
    </row>
    <row r="3057" spans="1:4" x14ac:dyDescent="0.2">
      <c r="A3057" s="5">
        <v>2996</v>
      </c>
      <c r="B3057" s="134">
        <f>'Expenditures 15-22'!E10</f>
        <v>47687</v>
      </c>
      <c r="D3057" s="2" t="str">
        <f t="shared" si="46"/>
        <v>Error?</v>
      </c>
    </row>
    <row r="3058" spans="1:4" x14ac:dyDescent="0.2">
      <c r="A3058" s="5">
        <v>2997</v>
      </c>
      <c r="B3058" s="134">
        <f>'Expenditures 15-22'!F10</f>
        <v>268165</v>
      </c>
      <c r="D3058" s="2" t="str">
        <f t="shared" si="46"/>
        <v>Error?</v>
      </c>
    </row>
    <row r="3059" spans="1:4" x14ac:dyDescent="0.2">
      <c r="A3059" s="5">
        <v>2998</v>
      </c>
      <c r="B3059" s="134">
        <f>'Expenditures 15-22'!G10</f>
        <v>1086</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1788118</v>
      </c>
      <c r="C3062" s="2" t="s">
        <v>593</v>
      </c>
      <c r="D3062" s="2" t="str">
        <f t="shared" si="46"/>
        <v>Error?</v>
      </c>
    </row>
    <row r="3063" spans="1:4" x14ac:dyDescent="0.2">
      <c r="A3063" s="10">
        <v>3002</v>
      </c>
      <c r="D3063" s="2" t="str">
        <f t="shared" si="46"/>
        <v>OK</v>
      </c>
    </row>
    <row r="3064" spans="1:4" x14ac:dyDescent="0.2">
      <c r="A3064" s="5">
        <v>3003</v>
      </c>
      <c r="B3064" s="134">
        <f>'Expenditures 15-22'!D225</f>
        <v>7770</v>
      </c>
      <c r="D3064" s="2" t="str">
        <f t="shared" si="46"/>
        <v>Error?</v>
      </c>
    </row>
    <row r="3065" spans="1:4" x14ac:dyDescent="0.2">
      <c r="A3065" s="5">
        <v>3004</v>
      </c>
      <c r="B3065" s="134">
        <f>'Expenditures 15-22'!K225</f>
        <v>7770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135160</v>
      </c>
      <c r="C3225" s="2" t="s">
        <v>593</v>
      </c>
      <c r="D3225" s="2" t="str">
        <f t="shared" si="49"/>
        <v>Error?</v>
      </c>
    </row>
    <row r="3226" spans="1:4" x14ac:dyDescent="0.2">
      <c r="A3226" s="5">
        <v>3165</v>
      </c>
      <c r="B3226" s="134">
        <f>'Acct Summary 7-8'!I8</f>
        <v>135160</v>
      </c>
      <c r="C3226" s="2" t="s">
        <v>593</v>
      </c>
      <c r="D3226" s="2" t="str">
        <f t="shared" si="49"/>
        <v>Error?</v>
      </c>
    </row>
    <row r="3227" spans="1:4" x14ac:dyDescent="0.2">
      <c r="A3227" s="5">
        <v>3166</v>
      </c>
      <c r="B3227" s="134">
        <f>'Acct Summary 7-8'!I20</f>
        <v>135160</v>
      </c>
      <c r="C3227" s="2" t="s">
        <v>593</v>
      </c>
      <c r="D3227" s="2" t="str">
        <f t="shared" si="49"/>
        <v>Error?</v>
      </c>
    </row>
    <row r="3228" spans="1:4" x14ac:dyDescent="0.2">
      <c r="A3228" s="5">
        <v>3167</v>
      </c>
      <c r="B3228" s="134">
        <f>'Acct Summary 7-8'!C43</f>
        <v>821108</v>
      </c>
      <c r="D3228" s="2" t="str">
        <f t="shared" si="49"/>
        <v>Error?</v>
      </c>
    </row>
    <row r="3229" spans="1:4" x14ac:dyDescent="0.2">
      <c r="A3229" s="5">
        <v>3168</v>
      </c>
      <c r="B3229" s="134">
        <f>'Acct Summary 7-8'!C44</f>
        <v>885287</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745648</v>
      </c>
      <c r="C3231" s="2" t="s">
        <v>593</v>
      </c>
      <c r="D3231" s="2" t="str">
        <f t="shared" si="49"/>
        <v>Error?</v>
      </c>
    </row>
    <row r="3232" spans="1:4" x14ac:dyDescent="0.2">
      <c r="A3232" s="5">
        <v>3171</v>
      </c>
      <c r="B3232" s="134">
        <f>'Acct Summary 7-8'!C77</f>
        <v>139639</v>
      </c>
      <c r="C3232" s="2" t="s">
        <v>593</v>
      </c>
      <c r="D3232" s="2" t="str">
        <f t="shared" si="49"/>
        <v>Error?</v>
      </c>
    </row>
    <row r="3233" spans="1:4" x14ac:dyDescent="0.2">
      <c r="A3233" s="5">
        <v>3172</v>
      </c>
      <c r="B3233" s="134">
        <f>'Acct Summary 7-8'!C78</f>
        <v>1706006</v>
      </c>
      <c r="C3233" s="2" t="s">
        <v>593</v>
      </c>
      <c r="D3233" s="2" t="str">
        <f t="shared" si="49"/>
        <v>Error?</v>
      </c>
    </row>
    <row r="3234" spans="1:4" x14ac:dyDescent="0.2">
      <c r="A3234" s="5">
        <v>3173</v>
      </c>
      <c r="B3234" s="134">
        <f>'Acct Summary 7-8'!D43</f>
        <v>2720000</v>
      </c>
      <c r="D3234" s="2" t="str">
        <f t="shared" si="49"/>
        <v>Error?</v>
      </c>
    </row>
    <row r="3235" spans="1:4" x14ac:dyDescent="0.2">
      <c r="A3235" s="5">
        <v>3174</v>
      </c>
      <c r="B3235" s="134">
        <f>'Acct Summary 7-8'!D44</f>
        <v>2720000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27863</v>
      </c>
      <c r="C3237" s="2" t="s">
        <v>593</v>
      </c>
      <c r="D3237" s="2" t="str">
        <f t="shared" si="49"/>
        <v>Error?</v>
      </c>
    </row>
    <row r="3238" spans="1:4" x14ac:dyDescent="0.2">
      <c r="A3238" s="5">
        <v>3177</v>
      </c>
      <c r="B3238" s="134">
        <f>'Acct Summary 7-8'!D77</f>
        <v>2692137</v>
      </c>
      <c r="C3238" s="2" t="s">
        <v>593</v>
      </c>
      <c r="D3238" s="2" t="str">
        <f t="shared" si="49"/>
        <v>Error?</v>
      </c>
    </row>
    <row r="3239" spans="1:4" x14ac:dyDescent="0.2">
      <c r="A3239" s="5">
        <v>3178</v>
      </c>
      <c r="B3239" s="134">
        <f>'Acct Summary 7-8'!D78</f>
        <v>-1026098</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397885</v>
      </c>
      <c r="D3251" s="2" t="str">
        <f t="shared" si="49"/>
        <v>Error?</v>
      </c>
    </row>
    <row r="3252" spans="1:4" x14ac:dyDescent="0.2">
      <c r="A3252" s="5">
        <v>3191</v>
      </c>
      <c r="B3252" s="134">
        <f>'Acct Summary 7-8'!F44</f>
        <v>397885</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397885</v>
      </c>
      <c r="C3255" s="2" t="s">
        <v>593</v>
      </c>
      <c r="D3255" s="2" t="str">
        <f t="shared" si="49"/>
        <v>Error?</v>
      </c>
    </row>
    <row r="3256" spans="1:4" x14ac:dyDescent="0.2">
      <c r="A3256" s="5">
        <v>3195</v>
      </c>
      <c r="B3256" s="134">
        <f>'Acct Summary 7-8'!F78</f>
        <v>852651</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-516395</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773511</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773511</v>
      </c>
      <c r="C3277" s="2" t="s">
        <v>593</v>
      </c>
      <c r="D3277" s="2" t="str">
        <f t="shared" si="50"/>
        <v>Error?</v>
      </c>
    </row>
    <row r="3278" spans="1:4" x14ac:dyDescent="0.2">
      <c r="A3278" s="5">
        <v>3217</v>
      </c>
      <c r="B3278" s="134">
        <f>'Acct Summary 7-8'!E78</f>
        <v>8711844</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125099499</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125099499</v>
      </c>
      <c r="C3299" s="2" t="s">
        <v>593</v>
      </c>
      <c r="D3299" s="2" t="str">
        <f t="shared" si="50"/>
        <v>Error?</v>
      </c>
    </row>
    <row r="3300" spans="1:4" x14ac:dyDescent="0.2">
      <c r="A3300" s="5">
        <v>3239</v>
      </c>
      <c r="B3300" s="134">
        <f>'Acct Summary 7-8'!H78</f>
        <v>118640567</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64179</v>
      </c>
      <c r="C3318" s="2" t="s">
        <v>593</v>
      </c>
      <c r="D3318" s="2" t="str">
        <f t="shared" si="50"/>
        <v>Error?</v>
      </c>
    </row>
    <row r="3319" spans="1:4" x14ac:dyDescent="0.2">
      <c r="A3319" s="5">
        <v>3258</v>
      </c>
      <c r="B3319" s="134">
        <f>'Acct Summary 7-8'!I77</f>
        <v>-64179</v>
      </c>
      <c r="C3319" s="2" t="s">
        <v>593</v>
      </c>
      <c r="D3319" s="2" t="str">
        <f t="shared" si="50"/>
        <v>Error?</v>
      </c>
    </row>
    <row r="3320" spans="1:4" x14ac:dyDescent="0.2">
      <c r="A3320" s="5">
        <v>3259</v>
      </c>
      <c r="B3320" s="134">
        <f>'Acct Summary 7-8'!I78</f>
        <v>70981</v>
      </c>
      <c r="C3320" s="2" t="s">
        <v>593</v>
      </c>
      <c r="D3320" s="2" t="str">
        <f t="shared" si="50"/>
        <v>Error?</v>
      </c>
    </row>
    <row r="3321" spans="1:4" x14ac:dyDescent="0.2">
      <c r="A3321" s="5">
        <v>3260</v>
      </c>
      <c r="B3321" s="134">
        <f>'Acct Summary 7-8'!I79</f>
        <v>12597674</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12668655</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10824139</v>
      </c>
      <c r="D3366" s="2" t="str">
        <f t="shared" si="51"/>
        <v>Error?</v>
      </c>
    </row>
    <row r="3367" spans="1:4" x14ac:dyDescent="0.2">
      <c r="A3367" s="5">
        <v>3306</v>
      </c>
      <c r="B3367" s="134">
        <f>'Expenditures 15-22'!C19</f>
        <v>974725</v>
      </c>
      <c r="D3367" s="2" t="str">
        <f t="shared" si="51"/>
        <v>Error?</v>
      </c>
    </row>
    <row r="3368" spans="1:4" x14ac:dyDescent="0.2">
      <c r="A3368" s="5">
        <v>3307</v>
      </c>
      <c r="B3368" s="134">
        <f>'Expenditures 15-22'!D8</f>
        <v>2819886</v>
      </c>
      <c r="D3368" s="2" t="str">
        <f t="shared" si="51"/>
        <v>Error?</v>
      </c>
    </row>
    <row r="3369" spans="1:4" x14ac:dyDescent="0.2">
      <c r="A3369" s="5">
        <v>3308</v>
      </c>
      <c r="B3369" s="134">
        <f>'Expenditures 15-22'!D19</f>
        <v>250866</v>
      </c>
      <c r="D3369" s="2" t="str">
        <f t="shared" si="51"/>
        <v>Error?</v>
      </c>
    </row>
    <row r="3370" spans="1:4" x14ac:dyDescent="0.2">
      <c r="A3370" s="5">
        <v>3309</v>
      </c>
      <c r="B3370" s="134">
        <f>'Expenditures 15-22'!E8</f>
        <v>842321</v>
      </c>
      <c r="D3370" s="2" t="str">
        <f t="shared" si="51"/>
        <v>Error?</v>
      </c>
    </row>
    <row r="3371" spans="1:4" x14ac:dyDescent="0.2">
      <c r="A3371" s="5">
        <v>3310</v>
      </c>
      <c r="B3371" s="134">
        <f>'Expenditures 15-22'!E19</f>
        <v>500</v>
      </c>
      <c r="D3371" s="2" t="str">
        <f t="shared" si="51"/>
        <v>Error?</v>
      </c>
    </row>
    <row r="3372" spans="1:4" x14ac:dyDescent="0.2">
      <c r="A3372" s="5">
        <v>3311</v>
      </c>
      <c r="B3372" s="134">
        <f>'Expenditures 15-22'!F8</f>
        <v>111638</v>
      </c>
      <c r="D3372" s="2" t="str">
        <f t="shared" si="51"/>
        <v>Error?</v>
      </c>
    </row>
    <row r="3373" spans="1:4" x14ac:dyDescent="0.2">
      <c r="A3373" s="5">
        <v>3312</v>
      </c>
      <c r="B3373" s="134">
        <f>'Expenditures 15-22'!F19</f>
        <v>13340</v>
      </c>
      <c r="D3373" s="2" t="str">
        <f t="shared" si="51"/>
        <v>Error?</v>
      </c>
    </row>
    <row r="3374" spans="1:4" x14ac:dyDescent="0.2">
      <c r="A3374" s="5">
        <v>3313</v>
      </c>
      <c r="B3374" s="134">
        <f>'Expenditures 15-22'!G8</f>
        <v>12252</v>
      </c>
      <c r="D3374" s="2" t="str">
        <f t="shared" si="51"/>
        <v>Error?</v>
      </c>
    </row>
    <row r="3375" spans="1:4" x14ac:dyDescent="0.2">
      <c r="A3375" s="5">
        <v>3314</v>
      </c>
      <c r="B3375" s="134">
        <f>'Expenditures 15-22'!G19</f>
        <v>859</v>
      </c>
      <c r="D3375" s="2" t="str">
        <f t="shared" si="51"/>
        <v>Error?</v>
      </c>
    </row>
    <row r="3376" spans="1:4" x14ac:dyDescent="0.2">
      <c r="A3376" s="5">
        <v>3315</v>
      </c>
      <c r="B3376" s="134">
        <f>'Expenditures 15-22'!H8</f>
        <v>3254238</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17864474</v>
      </c>
      <c r="C3380" s="2" t="s">
        <v>593</v>
      </c>
      <c r="D3380" s="2" t="str">
        <f t="shared" si="51"/>
        <v>Error?</v>
      </c>
    </row>
    <row r="3381" spans="1:4" x14ac:dyDescent="0.2">
      <c r="A3381" s="5">
        <v>3320</v>
      </c>
      <c r="B3381" s="134">
        <f>'Expenditures 15-22'!K19</f>
        <v>1240290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4943</v>
      </c>
      <c r="D3388" s="2" t="str">
        <f t="shared" si="51"/>
        <v>Error?</v>
      </c>
    </row>
    <row r="3389" spans="1:4" x14ac:dyDescent="0.2">
      <c r="A3389" s="5">
        <v>3328</v>
      </c>
      <c r="B3389" s="134">
        <f>'Expenditures 15-22'!D234</f>
        <v>87939</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4943</v>
      </c>
      <c r="C3391" s="2" t="s">
        <v>593</v>
      </c>
      <c r="D3391" s="2" t="str">
        <f t="shared" ref="D3391:D3454" si="52">IF(ISBLANK(B3391),"OK",IF(A3391-B3391=0,"OK","Error?"))</f>
        <v>Error?</v>
      </c>
    </row>
    <row r="3392" spans="1:4" x14ac:dyDescent="0.2">
      <c r="A3392" s="5">
        <v>3331</v>
      </c>
      <c r="B3392" s="134">
        <f>'Expenditures 15-22'!K234</f>
        <v>87939</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57922657</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4097964</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6054975</v>
      </c>
      <c r="D3417" s="2" t="str">
        <f t="shared" si="52"/>
        <v>Error?</v>
      </c>
    </row>
    <row r="3418" spans="1:4" x14ac:dyDescent="0.2">
      <c r="A3418" s="10">
        <v>3357</v>
      </c>
      <c r="D3418" s="2" t="str">
        <f t="shared" si="52"/>
        <v>OK</v>
      </c>
    </row>
    <row r="3419" spans="1:4" x14ac:dyDescent="0.2">
      <c r="A3419" s="5">
        <v>3358</v>
      </c>
      <c r="B3419" s="134">
        <f>'Assets-Liab 5-6'!F4</f>
        <v>916865</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1239025</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122126081</v>
      </c>
      <c r="D3425" s="2" t="str">
        <f t="shared" si="52"/>
        <v>Error?</v>
      </c>
    </row>
    <row r="3426" spans="1:4" x14ac:dyDescent="0.2">
      <c r="A3426" s="10">
        <v>3365</v>
      </c>
      <c r="D3426" s="2" t="str">
        <f t="shared" si="52"/>
        <v>OK</v>
      </c>
    </row>
    <row r="3427" spans="1:4" x14ac:dyDescent="0.2">
      <c r="A3427" s="5">
        <v>3366</v>
      </c>
      <c r="B3427" s="134">
        <f>'Assets-Liab 5-6'!I4</f>
        <v>12668655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1003958</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695250</v>
      </c>
      <c r="C3446" s="2" t="s">
        <v>593</v>
      </c>
      <c r="D3446" s="2" t="str">
        <f t="shared" si="52"/>
        <v>Error?</v>
      </c>
    </row>
    <row r="3447" spans="1:4" x14ac:dyDescent="0.2">
      <c r="A3447" s="5">
        <v>3386</v>
      </c>
      <c r="B3447" s="134">
        <f>'Tax Sched 23'!D16</f>
        <v>516114</v>
      </c>
      <c r="C3447" s="2" t="s">
        <v>593</v>
      </c>
      <c r="D3447" s="2" t="str">
        <f t="shared" si="52"/>
        <v>Error?</v>
      </c>
    </row>
    <row r="3448" spans="1:4" x14ac:dyDescent="0.2">
      <c r="A3448" s="5">
        <v>3387</v>
      </c>
      <c r="B3448" s="134">
        <f>'Tax Sched 23'!C16</f>
        <v>179136</v>
      </c>
      <c r="D3448" s="2" t="str">
        <f t="shared" si="52"/>
        <v>Error?</v>
      </c>
    </row>
    <row r="3449" spans="1:4" x14ac:dyDescent="0.2">
      <c r="A3449" s="5">
        <v>3388</v>
      </c>
      <c r="B3449" s="134">
        <f>'Tax Sched 23'!F16</f>
        <v>159613</v>
      </c>
      <c r="C3449" s="2" t="s">
        <v>593</v>
      </c>
      <c r="D3449" s="2" t="str">
        <f t="shared" si="52"/>
        <v>Error?</v>
      </c>
    </row>
    <row r="3450" spans="1:4" x14ac:dyDescent="0.2">
      <c r="A3450" s="5">
        <v>3389</v>
      </c>
      <c r="B3450" s="134">
        <f>'Tax Sched 23'!E16</f>
        <v>338749</v>
      </c>
      <c r="D3450" s="2" t="str">
        <f t="shared" si="52"/>
        <v>Error?</v>
      </c>
    </row>
    <row r="3451" spans="1:4" x14ac:dyDescent="0.2">
      <c r="A3451" s="5">
        <v>3390</v>
      </c>
      <c r="B3451" s="134">
        <f>'Cap Outlay Deprec 26'!C15</f>
        <v>3542513</v>
      </c>
      <c r="D3451" s="2" t="str">
        <f t="shared" si="52"/>
        <v>Error?</v>
      </c>
    </row>
    <row r="3452" spans="1:4" x14ac:dyDescent="0.2">
      <c r="A3452" s="5">
        <v>3391</v>
      </c>
      <c r="B3452" s="134">
        <f>'Cap Outlay Deprec 26'!D15</f>
        <v>5110559</v>
      </c>
      <c r="D3452" s="2" t="str">
        <f t="shared" si="52"/>
        <v>Error?</v>
      </c>
    </row>
    <row r="3453" spans="1:4" x14ac:dyDescent="0.2">
      <c r="A3453" s="5">
        <v>3392</v>
      </c>
      <c r="B3453" s="134">
        <f>'Cap Outlay Deprec 26'!E15</f>
        <v>3542513</v>
      </c>
      <c r="D3453" s="2" t="str">
        <f t="shared" si="52"/>
        <v>Error?</v>
      </c>
    </row>
    <row r="3454" spans="1:4" x14ac:dyDescent="0.2">
      <c r="A3454" s="5">
        <v>3393</v>
      </c>
      <c r="B3454" s="134">
        <f>'Cap Outlay Deprec 26'!F15</f>
        <v>5110559</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5110559</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283961</v>
      </c>
      <c r="D3546" s="2" t="str">
        <f t="shared" si="54"/>
        <v>Error?</v>
      </c>
    </row>
    <row r="3547" spans="1:4" x14ac:dyDescent="0.2">
      <c r="A3547" s="10">
        <v>3486</v>
      </c>
      <c r="D3547" s="2" t="str">
        <f t="shared" si="54"/>
        <v>OK</v>
      </c>
    </row>
    <row r="3548" spans="1:4" x14ac:dyDescent="0.2">
      <c r="A3548" s="5">
        <v>3487</v>
      </c>
      <c r="B3548" s="134">
        <f>'Assets-Liab 5-6'!K6</f>
        <v>73518</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213</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357692</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73730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73730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283962</v>
      </c>
      <c r="D3567" s="2" t="str">
        <f t="shared" si="54"/>
        <v>Error?</v>
      </c>
    </row>
    <row r="3568" spans="1:4" x14ac:dyDescent="0.2">
      <c r="A3568" s="5">
        <v>3507</v>
      </c>
      <c r="B3568" s="134">
        <f>'Assets-Liab 5-6'!K41</f>
        <v>357692</v>
      </c>
      <c r="C3568" s="2" t="s">
        <v>593</v>
      </c>
      <c r="D3568" s="2" t="str">
        <f t="shared" si="54"/>
        <v>Error?</v>
      </c>
    </row>
    <row r="3569" spans="1:4" x14ac:dyDescent="0.2">
      <c r="A3569" s="5">
        <v>3508</v>
      </c>
      <c r="B3569" s="134">
        <f>'Acct Summary 7-8'!K4</f>
        <v>109958</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109958</v>
      </c>
      <c r="C3571" s="2" t="s">
        <v>593</v>
      </c>
      <c r="D3571" s="2" t="str">
        <f t="shared" si="54"/>
        <v>Error?</v>
      </c>
    </row>
    <row r="3572" spans="1:4" x14ac:dyDescent="0.2">
      <c r="A3572" s="5">
        <v>3511</v>
      </c>
      <c r="B3572" s="134">
        <f>'Acct Summary 7-8'!K13</f>
        <v>17901</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17901</v>
      </c>
      <c r="C3575" s="2" t="s">
        <v>593</v>
      </c>
      <c r="D3575" s="2" t="str">
        <f t="shared" si="54"/>
        <v>Error?</v>
      </c>
    </row>
    <row r="3576" spans="1:4" x14ac:dyDescent="0.2">
      <c r="A3576" s="5">
        <v>3515</v>
      </c>
      <c r="B3576" s="134">
        <f>'Acct Summary 7-8'!K20</f>
        <v>92057</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92057</v>
      </c>
      <c r="C3588" s="2" t="s">
        <v>593</v>
      </c>
      <c r="D3588" s="2" t="str">
        <f t="shared" si="55"/>
        <v>Error?</v>
      </c>
    </row>
    <row r="3589" spans="1:4" x14ac:dyDescent="0.2">
      <c r="A3589" s="5">
        <v>3528</v>
      </c>
      <c r="B3589" s="134">
        <f>'Acct Summary 7-8'!K79</f>
        <v>191905</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283962</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17901</v>
      </c>
      <c r="C3673" s="2" t="s">
        <v>593</v>
      </c>
      <c r="D3673" s="2" t="str">
        <f t="shared" si="56"/>
        <v>Error?</v>
      </c>
    </row>
    <row r="3674" spans="1:4" x14ac:dyDescent="0.2">
      <c r="A3674" s="12">
        <v>3613</v>
      </c>
      <c r="B3674" s="134">
        <f>'Expenditures 15-22'!K368</f>
        <v>92057</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2408284</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44751741</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153948877</v>
      </c>
      <c r="C4122" s="2" t="s">
        <v>593</v>
      </c>
      <c r="D4122" s="2" t="str">
        <f t="shared" si="63"/>
        <v>Error?</v>
      </c>
    </row>
    <row r="4123" spans="1:4" x14ac:dyDescent="0.2">
      <c r="A4123" s="5">
        <v>4062</v>
      </c>
      <c r="B4123" s="134">
        <f>'Acct Summary 7-8'!D10</f>
        <v>9904147</v>
      </c>
      <c r="C4123" s="2" t="s">
        <v>593</v>
      </c>
      <c r="D4123" s="2" t="str">
        <f t="shared" si="63"/>
        <v>Error?</v>
      </c>
    </row>
    <row r="4124" spans="1:4" x14ac:dyDescent="0.2">
      <c r="A4124" s="5">
        <v>4063</v>
      </c>
      <c r="B4124" s="134">
        <f>'Acct Summary 7-8'!E10</f>
        <v>17372476</v>
      </c>
      <c r="C4124" s="2" t="s">
        <v>593</v>
      </c>
      <c r="D4124" s="2" t="str">
        <f t="shared" si="63"/>
        <v>Error?</v>
      </c>
    </row>
    <row r="4125" spans="1:4" x14ac:dyDescent="0.2">
      <c r="A4125" s="5">
        <v>4064</v>
      </c>
      <c r="B4125" s="134">
        <f>'Acct Summary 7-8'!F10</f>
        <v>7645401</v>
      </c>
      <c r="C4125" s="2" t="s">
        <v>593</v>
      </c>
      <c r="D4125" s="2" t="str">
        <f t="shared" si="63"/>
        <v>Error?</v>
      </c>
    </row>
    <row r="4126" spans="1:4" x14ac:dyDescent="0.2">
      <c r="A4126" s="5">
        <v>4065</v>
      </c>
      <c r="B4126" s="134">
        <f>'Acct Summary 7-8'!G10</f>
        <v>4090252</v>
      </c>
      <c r="C4126" s="2" t="s">
        <v>593</v>
      </c>
      <c r="D4126" s="2" t="str">
        <f t="shared" si="63"/>
        <v>Error?</v>
      </c>
    </row>
    <row r="4127" spans="1:4" x14ac:dyDescent="0.2">
      <c r="A4127" s="5">
        <v>4066</v>
      </c>
      <c r="B4127" s="134">
        <f>'Acct Summary 7-8'!H10</f>
        <v>2332827</v>
      </c>
      <c r="C4127" s="2" t="s">
        <v>593</v>
      </c>
      <c r="D4127" s="2" t="str">
        <f t="shared" si="63"/>
        <v>Error?</v>
      </c>
    </row>
    <row r="4128" spans="1:4" x14ac:dyDescent="0.2">
      <c r="A4128" s="5">
        <v>4067</v>
      </c>
      <c r="B4128" s="134">
        <f>'Acct Summary 7-8'!I10</f>
        <v>135160</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109958</v>
      </c>
      <c r="C4130" s="2" t="s">
        <v>593</v>
      </c>
      <c r="D4130" s="2" t="str">
        <f t="shared" si="63"/>
        <v>Error?</v>
      </c>
    </row>
    <row r="4131" spans="1:4" x14ac:dyDescent="0.2">
      <c r="A4131" s="5">
        <v>4070</v>
      </c>
      <c r="B4131" s="134">
        <f>'Acct Summary 7-8'!C18</f>
        <v>44751741</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152382510</v>
      </c>
      <c r="C4136" s="2" t="s">
        <v>593</v>
      </c>
      <c r="D4136" s="2" t="str">
        <f t="shared" si="63"/>
        <v>Error?</v>
      </c>
    </row>
    <row r="4137" spans="1:4" x14ac:dyDescent="0.2">
      <c r="A4137" s="5">
        <v>4076</v>
      </c>
      <c r="B4137" s="134">
        <f>'Acct Summary 7-8'!D19</f>
        <v>13622382</v>
      </c>
      <c r="C4137" s="2" t="s">
        <v>593</v>
      </c>
      <c r="D4137" s="2" t="str">
        <f t="shared" si="63"/>
        <v>Error?</v>
      </c>
    </row>
    <row r="4138" spans="1:4" x14ac:dyDescent="0.2">
      <c r="A4138" s="5">
        <v>4077</v>
      </c>
      <c r="B4138" s="134">
        <f>'Acct Summary 7-8'!E19</f>
        <v>9434143</v>
      </c>
      <c r="C4138" s="2" t="s">
        <v>593</v>
      </c>
      <c r="D4138" s="2" t="str">
        <f t="shared" si="63"/>
        <v>Error?</v>
      </c>
    </row>
    <row r="4139" spans="1:4" x14ac:dyDescent="0.2">
      <c r="A4139" s="5">
        <v>4078</v>
      </c>
      <c r="B4139" s="134">
        <f>'Acct Summary 7-8'!F19</f>
        <v>7190635</v>
      </c>
      <c r="C4139" s="2" t="s">
        <v>593</v>
      </c>
      <c r="D4139" s="2" t="str">
        <f t="shared" si="63"/>
        <v>Error?</v>
      </c>
    </row>
    <row r="4140" spans="1:4" x14ac:dyDescent="0.2">
      <c r="A4140" s="5">
        <v>4079</v>
      </c>
      <c r="B4140" s="134">
        <f>'Acct Summary 7-8'!G19</f>
        <v>4606647</v>
      </c>
      <c r="C4140" s="2" t="s">
        <v>593</v>
      </c>
      <c r="D4140" s="2" t="str">
        <f t="shared" si="63"/>
        <v>Error?</v>
      </c>
    </row>
    <row r="4141" spans="1:4" x14ac:dyDescent="0.2">
      <c r="A4141" s="5">
        <v>4080</v>
      </c>
      <c r="B4141" s="134">
        <f>'Acct Summary 7-8'!H19</f>
        <v>8791759</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17901</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487830</v>
      </c>
      <c r="C4156" s="2" t="s">
        <v>593</v>
      </c>
      <c r="D4156" s="2" t="str">
        <f t="shared" si="63"/>
        <v>Error?</v>
      </c>
    </row>
    <row r="4157" spans="1:4" x14ac:dyDescent="0.2">
      <c r="A4157" s="5">
        <v>4096</v>
      </c>
      <c r="B4157" s="134">
        <f>'Expenditures 15-22'!K210</f>
        <v>7190635</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211532446</v>
      </c>
      <c r="C4171" s="2" t="s">
        <v>593</v>
      </c>
      <c r="D4171" s="2" t="str">
        <f t="shared" si="64"/>
        <v>Error?</v>
      </c>
    </row>
    <row r="4172" spans="1:4" x14ac:dyDescent="0.2">
      <c r="A4172" s="5">
        <v>4111</v>
      </c>
      <c r="B4172" s="134">
        <f>'Short-Term Long-Term Debt 24'!J49</f>
        <v>201009504.00000003</v>
      </c>
      <c r="C4172" s="2" t="s">
        <v>593</v>
      </c>
      <c r="D4172" s="2" t="str">
        <f t="shared" si="64"/>
        <v>Error?</v>
      </c>
    </row>
    <row r="4173" spans="1:4" x14ac:dyDescent="0.2">
      <c r="A4173" s="5">
        <v>4112</v>
      </c>
      <c r="B4173" s="134">
        <f>'Short-Term Long-Term Debt 24'!H49</f>
        <v>4812433</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4325171</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3282.8999999999996</v>
      </c>
      <c r="C4265" s="2" t="s">
        <v>593</v>
      </c>
      <c r="D4265" s="2" t="str">
        <f t="shared" si="65"/>
        <v>Error?</v>
      </c>
      <c r="E4265" s="124"/>
    </row>
    <row r="4266" spans="1:5" x14ac:dyDescent="0.2">
      <c r="A4266" s="12">
        <v>4205</v>
      </c>
      <c r="B4266" s="134">
        <f>('FP Info 3'!F10)*100000</f>
        <v>452.7</v>
      </c>
      <c r="C4266" s="2" t="s">
        <v>593</v>
      </c>
      <c r="D4266" s="2" t="str">
        <f t="shared" si="65"/>
        <v>Error?</v>
      </c>
      <c r="E4266" s="124"/>
    </row>
    <row r="4267" spans="1:5" x14ac:dyDescent="0.2">
      <c r="A4267" s="12">
        <v>4206</v>
      </c>
      <c r="B4267" s="134">
        <f>('FP Info 3'!H10)*100000</f>
        <v>222.7</v>
      </c>
      <c r="C4267" s="2" t="s">
        <v>593</v>
      </c>
      <c r="D4267" s="2" t="str">
        <f t="shared" si="65"/>
        <v>Error?</v>
      </c>
      <c r="E4267" s="124"/>
    </row>
    <row r="4268" spans="1:5" x14ac:dyDescent="0.2">
      <c r="A4268" s="12">
        <v>4207</v>
      </c>
      <c r="B4268" s="134">
        <f>('FP Info 3'!J10)*100000</f>
        <v>3957.9999999999995</v>
      </c>
      <c r="C4268" s="2" t="s">
        <v>593</v>
      </c>
      <c r="D4268" s="2" t="str">
        <f t="shared" si="65"/>
        <v>Error?</v>
      </c>
    </row>
    <row r="4269" spans="1:5" x14ac:dyDescent="0.2">
      <c r="A4269" s="12">
        <v>4208</v>
      </c>
      <c r="B4269" s="134">
        <f>'FP Info 3'!J16</f>
        <v>71395492</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338639</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142544</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505071</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84581</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372874</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1415923</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1.4</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1415923</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162045</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103241</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49495</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2214047936</v>
      </c>
      <c r="D4995" s="2" t="str">
        <f t="shared" si="77"/>
        <v>Error?</v>
      </c>
    </row>
    <row r="4996" spans="1:4" x14ac:dyDescent="0.2">
      <c r="A4996" s="12">
        <v>4935</v>
      </c>
      <c r="B4996" s="134">
        <f>'FP Info 3'!H31</f>
        <v>305538615.16800004</v>
      </c>
      <c r="D4996" s="2" t="str">
        <f t="shared" si="77"/>
        <v>Error?</v>
      </c>
    </row>
    <row r="4997" spans="1:4" x14ac:dyDescent="0.2">
      <c r="A4997" s="12">
        <v>4936</v>
      </c>
      <c r="B4997" s="134">
        <f>'FP Info 3'!H37</f>
        <v>211532446</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71216631</v>
      </c>
      <c r="D5061" s="2" t="str">
        <f t="shared" si="78"/>
        <v>Error?</v>
      </c>
    </row>
    <row r="5062" spans="1:4" x14ac:dyDescent="0.2">
      <c r="A5062" s="10">
        <v>5001</v>
      </c>
      <c r="D5062" s="2" t="str">
        <f t="shared" si="78"/>
        <v>OK</v>
      </c>
    </row>
    <row r="5063" spans="1:4" x14ac:dyDescent="0.2">
      <c r="A5063" s="5">
        <v>5002</v>
      </c>
      <c r="B5063" s="134">
        <f>'Revenues 9-14'!C7</f>
        <v>1612258</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72828889</v>
      </c>
      <c r="C5066" s="2" t="s">
        <v>593</v>
      </c>
      <c r="D5066" s="2" t="str">
        <f t="shared" si="78"/>
        <v>Error?</v>
      </c>
    </row>
    <row r="5067" spans="1:4" x14ac:dyDescent="0.2">
      <c r="A5067" s="5">
        <v>5006</v>
      </c>
      <c r="B5067" s="134">
        <f>'Revenues 9-14'!C14</f>
        <v>15609</v>
      </c>
      <c r="D5067" s="2" t="str">
        <f t="shared" si="78"/>
        <v>Error?</v>
      </c>
    </row>
    <row r="5068" spans="1:4" x14ac:dyDescent="0.2">
      <c r="A5068" s="5">
        <v>5007</v>
      </c>
      <c r="B5068" s="134">
        <f>'Revenues 9-14'!C15</f>
        <v>12130</v>
      </c>
      <c r="D5068" s="2" t="str">
        <f t="shared" si="78"/>
        <v>Error?</v>
      </c>
    </row>
    <row r="5069" spans="1:4" x14ac:dyDescent="0.2">
      <c r="A5069" s="5">
        <v>5008</v>
      </c>
      <c r="B5069" s="134">
        <f>'Revenues 9-14'!C16</f>
        <v>2405516</v>
      </c>
      <c r="D5069" s="2" t="str">
        <f t="shared" si="78"/>
        <v>Error?</v>
      </c>
    </row>
    <row r="5070" spans="1:4" x14ac:dyDescent="0.2">
      <c r="A5070" s="5">
        <v>5009</v>
      </c>
      <c r="B5070" s="134">
        <f>'Revenues 9-14'!C17</f>
        <v>20059</v>
      </c>
      <c r="D5070" s="2" t="str">
        <f t="shared" si="78"/>
        <v>Error?</v>
      </c>
    </row>
    <row r="5071" spans="1:4" x14ac:dyDescent="0.2">
      <c r="A5071" s="5">
        <v>5010</v>
      </c>
      <c r="B5071" s="134">
        <f>'Revenues 9-14'!C18</f>
        <v>2453314</v>
      </c>
      <c r="C5071" s="2" t="s">
        <v>593</v>
      </c>
      <c r="D5071" s="2" t="str">
        <f t="shared" si="78"/>
        <v>Error?</v>
      </c>
    </row>
    <row r="5072" spans="1:4" x14ac:dyDescent="0.2">
      <c r="A5072" s="5">
        <v>5011</v>
      </c>
      <c r="B5072" s="134">
        <f>'Revenues 9-14'!C20</f>
        <v>124</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18400</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18524</v>
      </c>
      <c r="C5087" s="2" t="s">
        <v>593</v>
      </c>
      <c r="D5087" s="2" t="str">
        <f t="shared" si="78"/>
        <v>Error?</v>
      </c>
    </row>
    <row r="5088" spans="1:4" x14ac:dyDescent="0.2">
      <c r="A5088" s="5">
        <v>5027</v>
      </c>
      <c r="B5088" s="134">
        <f>'Revenues 9-14'!C65</f>
        <v>304733</v>
      </c>
      <c r="D5088" s="2" t="str">
        <f t="shared" si="78"/>
        <v>Error?</v>
      </c>
    </row>
    <row r="5089" spans="1:4" x14ac:dyDescent="0.2">
      <c r="A5089" s="5">
        <v>5028</v>
      </c>
      <c r="B5089" s="134">
        <f>'Revenues 9-14'!C66</f>
        <v>0</v>
      </c>
      <c r="D5089" s="2" t="str">
        <f t="shared" si="78"/>
        <v>Error?</v>
      </c>
    </row>
    <row r="5090" spans="1:4" x14ac:dyDescent="0.2">
      <c r="A5090" s="5">
        <v>5029</v>
      </c>
      <c r="B5090" s="134">
        <f>'Revenues 9-14'!C67</f>
        <v>304733</v>
      </c>
      <c r="C5090" s="2" t="s">
        <v>593</v>
      </c>
      <c r="D5090" s="2" t="str">
        <f t="shared" si="78"/>
        <v>Error?</v>
      </c>
    </row>
    <row r="5091" spans="1:4" x14ac:dyDescent="0.2">
      <c r="A5091" s="5">
        <v>5030</v>
      </c>
      <c r="B5091" s="134">
        <f>'Revenues 9-14'!C70</f>
        <v>19474</v>
      </c>
      <c r="D5091" s="2" t="str">
        <f t="shared" si="78"/>
        <v>Error?</v>
      </c>
    </row>
    <row r="5092" spans="1:4" x14ac:dyDescent="0.2">
      <c r="A5092" s="5">
        <v>5031</v>
      </c>
      <c r="B5092" s="134">
        <f>'Revenues 9-14'!C71</f>
        <v>183193</v>
      </c>
      <c r="D5092" s="2" t="str">
        <f t="shared" si="78"/>
        <v>Error?</v>
      </c>
    </row>
    <row r="5093" spans="1:4" x14ac:dyDescent="0.2">
      <c r="A5093" s="5">
        <v>5032</v>
      </c>
      <c r="B5093" s="134">
        <f>'Revenues 9-14'!C72</f>
        <v>0</v>
      </c>
      <c r="D5093" s="2" t="str">
        <f t="shared" si="78"/>
        <v>Error?</v>
      </c>
    </row>
    <row r="5094" spans="1:4" x14ac:dyDescent="0.2">
      <c r="A5094" s="5">
        <v>5033</v>
      </c>
      <c r="B5094" s="134">
        <f>'Revenues 9-14'!C73</f>
        <v>15697</v>
      </c>
      <c r="D5094" s="2" t="str">
        <f t="shared" si="78"/>
        <v>Error?</v>
      </c>
    </row>
    <row r="5095" spans="1:4" x14ac:dyDescent="0.2">
      <c r="A5095" s="5">
        <v>5034</v>
      </c>
      <c r="B5095" s="134">
        <f>'Revenues 9-14'!C74</f>
        <v>0</v>
      </c>
      <c r="D5095" s="2" t="str">
        <f t="shared" si="78"/>
        <v>Error?</v>
      </c>
    </row>
    <row r="5096" spans="1:4" x14ac:dyDescent="0.2">
      <c r="A5096" s="5">
        <v>5035</v>
      </c>
      <c r="B5096" s="134">
        <f>'Revenues 9-14'!C75</f>
        <v>741038</v>
      </c>
      <c r="C5096" s="2" t="s">
        <v>593</v>
      </c>
      <c r="D5096" s="2" t="str">
        <f t="shared" si="78"/>
        <v>Error?</v>
      </c>
    </row>
    <row r="5097" spans="1:4" x14ac:dyDescent="0.2">
      <c r="A5097" s="5">
        <v>5036</v>
      </c>
      <c r="B5097" s="134">
        <f>'Revenues 9-14'!C77</f>
        <v>48124</v>
      </c>
      <c r="D5097" s="2" t="str">
        <f t="shared" si="78"/>
        <v>Error?</v>
      </c>
    </row>
    <row r="5098" spans="1:4" x14ac:dyDescent="0.2">
      <c r="A5098" s="5">
        <v>5037</v>
      </c>
      <c r="B5098" s="134">
        <f>'Revenues 9-14'!C78</f>
        <v>0</v>
      </c>
      <c r="D5098" s="2" t="str">
        <f t="shared" si="78"/>
        <v>Error?</v>
      </c>
    </row>
    <row r="5099" spans="1:4" x14ac:dyDescent="0.2">
      <c r="A5099" s="5">
        <v>5038</v>
      </c>
      <c r="B5099" s="134">
        <f>'Revenues 9-14'!C79</f>
        <v>0</v>
      </c>
      <c r="D5099" s="2" t="str">
        <f t="shared" si="78"/>
        <v>Error?</v>
      </c>
    </row>
    <row r="5100" spans="1:4" x14ac:dyDescent="0.2">
      <c r="A5100" s="5">
        <v>5039</v>
      </c>
      <c r="B5100" s="134">
        <f>'Revenues 9-14'!C80</f>
        <v>0</v>
      </c>
      <c r="D5100" s="2" t="str">
        <f t="shared" si="78"/>
        <v>Error?</v>
      </c>
    </row>
    <row r="5101" spans="1:4" x14ac:dyDescent="0.2">
      <c r="A5101" s="5">
        <v>5040</v>
      </c>
      <c r="B5101" s="134">
        <f>'Revenues 9-14'!C81</f>
        <v>756</v>
      </c>
      <c r="D5101" s="2" t="str">
        <f t="shared" si="78"/>
        <v>Error?</v>
      </c>
    </row>
    <row r="5102" spans="1:4" x14ac:dyDescent="0.2">
      <c r="A5102" s="5">
        <v>5041</v>
      </c>
      <c r="B5102" s="134">
        <f>'Revenues 9-14'!C82</f>
        <v>48880</v>
      </c>
      <c r="C5102" s="2" t="s">
        <v>593</v>
      </c>
      <c r="D5102" s="2" t="str">
        <f t="shared" si="78"/>
        <v>Error?</v>
      </c>
    </row>
    <row r="5103" spans="1:4" x14ac:dyDescent="0.2">
      <c r="A5103" s="5">
        <v>5042</v>
      </c>
      <c r="B5103" s="134">
        <f>'Revenues 9-14'!C84</f>
        <v>341858</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341858</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46082</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1169115</v>
      </c>
      <c r="D5119" s="2" t="str">
        <f t="shared" ref="D5119:D5182" si="79">IF(ISBLANK(B5119),"OK",IF(A5119-B5119=0,"OK","Error?"))</f>
        <v>Error?</v>
      </c>
    </row>
    <row r="5120" spans="1:4" x14ac:dyDescent="0.2">
      <c r="A5120" s="5">
        <v>5059</v>
      </c>
      <c r="B5120" s="134">
        <f>'Revenues 9-14'!C108</f>
        <v>1328805</v>
      </c>
      <c r="C5120" s="2" t="s">
        <v>593</v>
      </c>
      <c r="D5120" s="2" t="str">
        <f t="shared" si="79"/>
        <v>Error?</v>
      </c>
    </row>
    <row r="5121" spans="1:4" x14ac:dyDescent="0.2">
      <c r="A5121" s="5">
        <v>5060</v>
      </c>
      <c r="B5121" s="134">
        <f>'Revenues 9-14'!C109</f>
        <v>78066041</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14370409</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14370409</v>
      </c>
      <c r="C5132" s="2" t="s">
        <v>593</v>
      </c>
      <c r="D5132" s="2" t="str">
        <f t="shared" si="79"/>
        <v>Error?</v>
      </c>
    </row>
    <row r="5133" spans="1:4" x14ac:dyDescent="0.2">
      <c r="A5133" s="5">
        <v>5072</v>
      </c>
      <c r="B5133" s="134">
        <f>'Revenues 9-14'!C124</f>
        <v>644288</v>
      </c>
      <c r="D5133" s="2" t="str">
        <f t="shared" si="79"/>
        <v>Error?</v>
      </c>
    </row>
    <row r="5134" spans="1:4" x14ac:dyDescent="0.2">
      <c r="A5134" s="5">
        <v>5073</v>
      </c>
      <c r="B5134" s="134">
        <f>'Revenues 9-14'!C125</f>
        <v>325658</v>
      </c>
      <c r="D5134" s="2" t="str">
        <f t="shared" si="79"/>
        <v>Error?</v>
      </c>
    </row>
    <row r="5135" spans="1:4" x14ac:dyDescent="0.2">
      <c r="A5135" s="5">
        <v>5074</v>
      </c>
      <c r="B5135" s="134">
        <f>'Revenues 9-14'!C126</f>
        <v>594307</v>
      </c>
      <c r="D5135" s="2" t="str">
        <f t="shared" si="79"/>
        <v>Error?</v>
      </c>
    </row>
    <row r="5136" spans="1:4" x14ac:dyDescent="0.2">
      <c r="A5136" s="10">
        <v>5075</v>
      </c>
      <c r="D5136" s="2" t="str">
        <f t="shared" si="79"/>
        <v>OK</v>
      </c>
    </row>
    <row r="5137" spans="1:4" x14ac:dyDescent="0.2">
      <c r="A5137" s="5">
        <v>5076</v>
      </c>
      <c r="B5137" s="134">
        <f>'Revenues 9-14'!C127</f>
        <v>1411488</v>
      </c>
      <c r="D5137" s="2" t="str">
        <f t="shared" si="79"/>
        <v>Error?</v>
      </c>
    </row>
    <row r="5138" spans="1:4" x14ac:dyDescent="0.2">
      <c r="A5138" s="10">
        <v>5077</v>
      </c>
      <c r="D5138" s="2" t="str">
        <f t="shared" si="79"/>
        <v>OK</v>
      </c>
    </row>
    <row r="5139" spans="1:4" x14ac:dyDescent="0.2">
      <c r="A5139" s="5">
        <v>5078</v>
      </c>
      <c r="B5139" s="134">
        <f>'Revenues 9-14'!C128</f>
        <v>365627</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8346</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3349714</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87283</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87283</v>
      </c>
      <c r="C5161" s="2" t="s">
        <v>593</v>
      </c>
      <c r="D5161" s="2" t="str">
        <f t="shared" si="79"/>
        <v>Error?</v>
      </c>
    </row>
    <row r="5162" spans="1:4" x14ac:dyDescent="0.2">
      <c r="A5162" s="10">
        <v>5101</v>
      </c>
      <c r="D5162" s="2" t="str">
        <f t="shared" si="79"/>
        <v>OK</v>
      </c>
    </row>
    <row r="5163" spans="1:4" x14ac:dyDescent="0.2">
      <c r="A5163" s="5">
        <v>5102</v>
      </c>
      <c r="B5163" s="134">
        <f>'Revenues 9-14'!C142</f>
        <v>362865</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362865</v>
      </c>
      <c r="C5165" s="2" t="s">
        <v>593</v>
      </c>
      <c r="D5165" s="2" t="str">
        <f t="shared" si="79"/>
        <v>Error?</v>
      </c>
    </row>
    <row r="5166" spans="1:4" x14ac:dyDescent="0.2">
      <c r="A5166" s="10">
        <v>5105</v>
      </c>
      <c r="D5166" s="2" t="str">
        <f t="shared" si="79"/>
        <v>OK</v>
      </c>
    </row>
    <row r="5167" spans="1:4" x14ac:dyDescent="0.2">
      <c r="A5167" s="5">
        <v>5106</v>
      </c>
      <c r="B5167" s="134">
        <f>'Revenues 9-14'!C145</f>
        <v>50923</v>
      </c>
      <c r="D5167" s="2" t="str">
        <f t="shared" si="79"/>
        <v>Error?</v>
      </c>
    </row>
    <row r="5168" spans="1:4" x14ac:dyDescent="0.2">
      <c r="A5168" s="5">
        <v>5107</v>
      </c>
      <c r="B5168" s="134">
        <f>'Revenues 9-14'!C147</f>
        <v>81164</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225606</v>
      </c>
      <c r="D5194" s="2" t="str">
        <f t="shared" si="80"/>
        <v>Error?</v>
      </c>
    </row>
    <row r="5195" spans="1:4" x14ac:dyDescent="0.2">
      <c r="A5195" s="10">
        <v>5134</v>
      </c>
      <c r="D5195" s="2" t="str">
        <f t="shared" si="80"/>
        <v>OK</v>
      </c>
    </row>
    <row r="5196" spans="1:4" x14ac:dyDescent="0.2">
      <c r="A5196" s="5">
        <v>5135</v>
      </c>
      <c r="B5196" s="134">
        <f>'Revenues 9-14'!C158</f>
        <v>1182938</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5502538</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19872947</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103241</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2542873</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703119</v>
      </c>
      <c r="D5241" s="2" t="str">
        <f t="shared" si="80"/>
        <v>Error?</v>
      </c>
    </row>
    <row r="5242" spans="1:4" x14ac:dyDescent="0.2">
      <c r="A5242" s="5">
        <v>5181</v>
      </c>
      <c r="B5242" s="134">
        <f>'Revenues 9-14'!C197</f>
        <v>102158</v>
      </c>
      <c r="D5242" s="2" t="str">
        <f t="shared" si="80"/>
        <v>Error?</v>
      </c>
    </row>
    <row r="5243" spans="1:4" x14ac:dyDescent="0.2">
      <c r="A5243" s="5">
        <v>5182</v>
      </c>
      <c r="B5243" s="134">
        <f>'Revenues 9-14'!C198</f>
        <v>29914</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3716703</v>
      </c>
      <c r="C5246" s="2" t="s">
        <v>593</v>
      </c>
      <c r="D5246" s="2" t="str">
        <f t="shared" si="80"/>
        <v>Error?</v>
      </c>
    </row>
    <row r="5247" spans="1:4" x14ac:dyDescent="0.2">
      <c r="A5247" s="5">
        <v>5186</v>
      </c>
      <c r="B5247" s="134">
        <f>'Revenues 9-14'!C203</f>
        <v>3159926</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3159926</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100773</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2422268</v>
      </c>
      <c r="D5278" s="2" t="str">
        <f t="shared" si="81"/>
        <v>Error?</v>
      </c>
    </row>
    <row r="5279" spans="1:4" x14ac:dyDescent="0.2">
      <c r="A5279" s="5">
        <v>5218</v>
      </c>
      <c r="B5279" s="134">
        <f>'Revenues 9-14'!C221</f>
        <v>566900</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3089941</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33772</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11154907</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11258148</v>
      </c>
      <c r="C5326" s="2" t="s">
        <v>593</v>
      </c>
      <c r="D5326" s="2" t="str">
        <f t="shared" si="82"/>
        <v>Error?</v>
      </c>
    </row>
    <row r="5327" spans="1:4" x14ac:dyDescent="0.2">
      <c r="A5327" s="5">
        <v>5266</v>
      </c>
      <c r="B5327" s="134">
        <f>'Revenues 9-14'!C275</f>
        <v>109197136</v>
      </c>
      <c r="C5327" s="2" t="s">
        <v>593</v>
      </c>
      <c r="D5327" s="2" t="str">
        <f t="shared" si="82"/>
        <v>Error?</v>
      </c>
    </row>
    <row r="5328" spans="1:4" x14ac:dyDescent="0.2">
      <c r="A5328" s="5">
        <v>5267</v>
      </c>
      <c r="B5328" s="134">
        <f>'Revenues 9-14'!D5</f>
        <v>9748918</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9748918</v>
      </c>
      <c r="C5334" s="2" t="s">
        <v>593</v>
      </c>
      <c r="D5334" s="2" t="str">
        <f t="shared" si="82"/>
        <v>Error?</v>
      </c>
    </row>
    <row r="5335" spans="1:4" x14ac:dyDescent="0.2">
      <c r="A5335" s="5">
        <v>5274</v>
      </c>
      <c r="B5335" s="134">
        <f>'Revenues 9-14'!D14</f>
        <v>2076</v>
      </c>
      <c r="D5335" s="2" t="str">
        <f t="shared" si="82"/>
        <v>Error?</v>
      </c>
    </row>
    <row r="5336" spans="1:4" x14ac:dyDescent="0.2">
      <c r="A5336" s="5">
        <v>5275</v>
      </c>
      <c r="B5336" s="134">
        <f>'Revenues 9-14'!D15</f>
        <v>1589</v>
      </c>
      <c r="D5336" s="2" t="str">
        <f t="shared" si="82"/>
        <v>Error?</v>
      </c>
    </row>
    <row r="5337" spans="1:4" x14ac:dyDescent="0.2">
      <c r="A5337" s="5">
        <v>5276</v>
      </c>
      <c r="B5337" s="134">
        <f>'Revenues 9-14'!D16</f>
        <v>0</v>
      </c>
      <c r="D5337" s="2" t="str">
        <f t="shared" si="82"/>
        <v>Error?</v>
      </c>
    </row>
    <row r="5338" spans="1:4" x14ac:dyDescent="0.2">
      <c r="A5338" s="5">
        <v>5277</v>
      </c>
      <c r="B5338" s="134">
        <f>'Revenues 9-14'!D17</f>
        <v>2685</v>
      </c>
      <c r="D5338" s="2" t="str">
        <f t="shared" si="82"/>
        <v>Error?</v>
      </c>
    </row>
    <row r="5339" spans="1:4" x14ac:dyDescent="0.2">
      <c r="A5339" s="5">
        <v>5278</v>
      </c>
      <c r="B5339" s="134">
        <f>'Revenues 9-14'!D18</f>
        <v>6350</v>
      </c>
      <c r="C5339" s="2" t="s">
        <v>593</v>
      </c>
      <c r="D5339" s="2" t="str">
        <f t="shared" si="82"/>
        <v>Error?</v>
      </c>
    </row>
    <row r="5340" spans="1:4" x14ac:dyDescent="0.2">
      <c r="A5340" s="5">
        <v>5279</v>
      </c>
      <c r="B5340" s="134">
        <f>'Revenues 9-14'!D65</f>
        <v>22139</v>
      </c>
      <c r="D5340" s="2" t="str">
        <f t="shared" si="82"/>
        <v>Error?</v>
      </c>
    </row>
    <row r="5341" spans="1:4" x14ac:dyDescent="0.2">
      <c r="A5341" s="5">
        <v>5280</v>
      </c>
      <c r="B5341" s="134">
        <f>'Revenues 9-14'!D66</f>
        <v>0</v>
      </c>
      <c r="D5341" s="2" t="str">
        <f t="shared" si="82"/>
        <v>Error?</v>
      </c>
    </row>
    <row r="5342" spans="1:4" x14ac:dyDescent="0.2">
      <c r="A5342" s="5">
        <v>5281</v>
      </c>
      <c r="B5342" s="134">
        <f>'Revenues 9-14'!D67</f>
        <v>22139</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112619</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7859</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6262</v>
      </c>
      <c r="D5354" s="2" t="str">
        <f t="shared" si="82"/>
        <v>Error?</v>
      </c>
    </row>
    <row r="5355" spans="1:4" x14ac:dyDescent="0.2">
      <c r="A5355" s="5">
        <v>5294</v>
      </c>
      <c r="B5355" s="134">
        <f>'Revenues 9-14'!D108</f>
        <v>126740</v>
      </c>
      <c r="C5355" s="2" t="s">
        <v>593</v>
      </c>
      <c r="D5355" s="2" t="str">
        <f t="shared" si="82"/>
        <v>Error?</v>
      </c>
    </row>
    <row r="5356" spans="1:4" x14ac:dyDescent="0.2">
      <c r="A5356" s="5">
        <v>5295</v>
      </c>
      <c r="B5356" s="134">
        <f>'Revenues 9-14'!D109</f>
        <v>9904147</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9904147</v>
      </c>
      <c r="C5508" s="2" t="s">
        <v>593</v>
      </c>
      <c r="D5508" s="2" t="str">
        <f t="shared" si="85"/>
        <v>Error?</v>
      </c>
    </row>
    <row r="5509" spans="1:4" x14ac:dyDescent="0.2">
      <c r="A5509" s="5">
        <v>5448</v>
      </c>
      <c r="B5509" s="134">
        <f>'Revenues 9-14'!E5</f>
        <v>9680064</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9680064</v>
      </c>
      <c r="C5513" s="2" t="s">
        <v>593</v>
      </c>
      <c r="D5513" s="2" t="str">
        <f t="shared" si="85"/>
        <v>Error?</v>
      </c>
    </row>
    <row r="5514" spans="1:4" x14ac:dyDescent="0.2">
      <c r="A5514" s="5">
        <v>5453</v>
      </c>
      <c r="B5514" s="134">
        <f>'Revenues 9-14'!E14</f>
        <v>226</v>
      </c>
      <c r="D5514" s="2" t="str">
        <f t="shared" si="85"/>
        <v>Error?</v>
      </c>
    </row>
    <row r="5515" spans="1:4" x14ac:dyDescent="0.2">
      <c r="A5515" s="5">
        <v>5454</v>
      </c>
      <c r="B5515" s="134">
        <f>'Revenues 9-14'!E15</f>
        <v>172</v>
      </c>
      <c r="D5515" s="2" t="str">
        <f t="shared" si="85"/>
        <v>Error?</v>
      </c>
    </row>
    <row r="5516" spans="1:4" x14ac:dyDescent="0.2">
      <c r="A5516" s="5">
        <v>5455</v>
      </c>
      <c r="B5516" s="134">
        <f>'Revenues 9-14'!E16</f>
        <v>0</v>
      </c>
      <c r="D5516" s="2" t="str">
        <f t="shared" si="85"/>
        <v>Error?</v>
      </c>
    </row>
    <row r="5517" spans="1:4" x14ac:dyDescent="0.2">
      <c r="A5517" s="5">
        <v>5456</v>
      </c>
      <c r="B5517" s="134">
        <f>'Revenues 9-14'!E17</f>
        <v>290</v>
      </c>
      <c r="D5517" s="2" t="str">
        <f t="shared" si="85"/>
        <v>Error?</v>
      </c>
    </row>
    <row r="5518" spans="1:4" x14ac:dyDescent="0.2">
      <c r="A5518" s="5">
        <v>5457</v>
      </c>
      <c r="B5518" s="134">
        <f>'Revenues 9-14'!E18</f>
        <v>688</v>
      </c>
      <c r="C5518" s="2" t="s">
        <v>593</v>
      </c>
      <c r="D5518" s="2" t="str">
        <f t="shared" si="85"/>
        <v>Error?</v>
      </c>
    </row>
    <row r="5519" spans="1:4" x14ac:dyDescent="0.2">
      <c r="A5519" s="5">
        <v>5458</v>
      </c>
      <c r="B5519" s="134">
        <f>'Revenues 9-14'!E65</f>
        <v>844</v>
      </c>
      <c r="D5519" s="2" t="str">
        <f t="shared" si="85"/>
        <v>Error?</v>
      </c>
    </row>
    <row r="5520" spans="1:4" x14ac:dyDescent="0.2">
      <c r="A5520" s="5">
        <v>5459</v>
      </c>
      <c r="B5520" s="134">
        <f>'Revenues 9-14'!E66</f>
        <v>0</v>
      </c>
      <c r="D5520" s="2" t="str">
        <f t="shared" si="85"/>
        <v>Error?</v>
      </c>
    </row>
    <row r="5521" spans="1:4" x14ac:dyDescent="0.2">
      <c r="A5521" s="5">
        <v>5460</v>
      </c>
      <c r="B5521" s="134">
        <f>'Revenues 9-14'!E67</f>
        <v>844</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6274957</v>
      </c>
      <c r="C5526" s="2" t="s">
        <v>593</v>
      </c>
      <c r="D5526" s="2" t="str">
        <f t="shared" si="85"/>
        <v>Error?</v>
      </c>
    </row>
    <row r="5527" spans="1:4" x14ac:dyDescent="0.2">
      <c r="A5527" s="5">
        <v>5466</v>
      </c>
      <c r="B5527" s="134">
        <f>'Revenues 9-14'!E109</f>
        <v>15956553</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17372476</v>
      </c>
      <c r="C5552" s="2" t="s">
        <v>593</v>
      </c>
      <c r="D5552" s="2" t="str">
        <f t="shared" si="85"/>
        <v>Error?</v>
      </c>
    </row>
    <row r="5553" spans="1:4" x14ac:dyDescent="0.2">
      <c r="A5553" s="5">
        <v>5492</v>
      </c>
      <c r="B5553" s="134">
        <f>'Revenues 9-14'!F5</f>
        <v>3973143</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3973143</v>
      </c>
      <c r="C5557" s="2" t="s">
        <v>593</v>
      </c>
      <c r="D5557" s="2" t="str">
        <f t="shared" si="85"/>
        <v>Error?</v>
      </c>
    </row>
    <row r="5558" spans="1:4" x14ac:dyDescent="0.2">
      <c r="A5558" s="5">
        <v>5497</v>
      </c>
      <c r="B5558" s="134">
        <f>'Revenues 9-14'!F14</f>
        <v>637</v>
      </c>
      <c r="D5558" s="2" t="str">
        <f t="shared" si="85"/>
        <v>Error?</v>
      </c>
    </row>
    <row r="5559" spans="1:4" x14ac:dyDescent="0.2">
      <c r="A5559" s="5">
        <v>5498</v>
      </c>
      <c r="B5559" s="134">
        <f>'Revenues 9-14'!F15</f>
        <v>487</v>
      </c>
      <c r="D5559" s="2" t="str">
        <f t="shared" si="85"/>
        <v>Error?</v>
      </c>
    </row>
    <row r="5560" spans="1:4" x14ac:dyDescent="0.2">
      <c r="A5560" s="5">
        <v>5499</v>
      </c>
      <c r="B5560" s="134">
        <f>'Revenues 9-14'!F16</f>
        <v>0</v>
      </c>
      <c r="D5560" s="2" t="str">
        <f t="shared" si="85"/>
        <v>Error?</v>
      </c>
    </row>
    <row r="5561" spans="1:4" x14ac:dyDescent="0.2">
      <c r="A5561" s="5">
        <v>5500</v>
      </c>
      <c r="B5561" s="134">
        <f>'Revenues 9-14'!F17</f>
        <v>824</v>
      </c>
      <c r="D5561" s="2" t="str">
        <f t="shared" si="85"/>
        <v>Error?</v>
      </c>
    </row>
    <row r="5562" spans="1:4" x14ac:dyDescent="0.2">
      <c r="A5562" s="5">
        <v>5501</v>
      </c>
      <c r="B5562" s="134">
        <f>'Revenues 9-14'!F18</f>
        <v>1948</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719096</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719096</v>
      </c>
      <c r="C5579" s="2" t="s">
        <v>593</v>
      </c>
      <c r="D5579" s="2" t="str">
        <f t="shared" si="86"/>
        <v>Error?</v>
      </c>
    </row>
    <row r="5580" spans="1:4" x14ac:dyDescent="0.2">
      <c r="A5580" s="5">
        <v>5519</v>
      </c>
      <c r="B5580" s="134">
        <f>'Revenues 9-14'!F65</f>
        <v>323</v>
      </c>
      <c r="D5580" s="2" t="str">
        <f t="shared" si="86"/>
        <v>Error?</v>
      </c>
    </row>
    <row r="5581" spans="1:4" x14ac:dyDescent="0.2">
      <c r="A5581" s="5">
        <v>5520</v>
      </c>
      <c r="B5581" s="134">
        <f>'Revenues 9-14'!F66</f>
        <v>0</v>
      </c>
      <c r="D5581" s="2" t="str">
        <f t="shared" si="86"/>
        <v>Error?</v>
      </c>
    </row>
    <row r="5582" spans="1:4" x14ac:dyDescent="0.2">
      <c r="A5582" s="5">
        <v>5521</v>
      </c>
      <c r="B5582" s="134">
        <f>'Revenues 9-14'!F67</f>
        <v>323</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5034</v>
      </c>
      <c r="D5585" s="2" t="str">
        <f t="shared" si="86"/>
        <v>Error?</v>
      </c>
    </row>
    <row r="5586" spans="1:4" x14ac:dyDescent="0.2">
      <c r="A5586" s="5">
        <v>5525</v>
      </c>
      <c r="B5586" s="134">
        <f>'Revenues 9-14'!F107</f>
        <v>2203</v>
      </c>
      <c r="D5586" s="2" t="str">
        <f t="shared" si="86"/>
        <v>Error?</v>
      </c>
    </row>
    <row r="5587" spans="1:4" x14ac:dyDescent="0.2">
      <c r="A5587" s="5">
        <v>5526</v>
      </c>
      <c r="B5587" s="134">
        <f>'Revenues 9-14'!F108</f>
        <v>7237</v>
      </c>
      <c r="C5587" s="2" t="s">
        <v>593</v>
      </c>
      <c r="D5587" s="2" t="str">
        <f t="shared" si="86"/>
        <v>Error?</v>
      </c>
    </row>
    <row r="5588" spans="1:4" x14ac:dyDescent="0.2">
      <c r="A5588" s="5">
        <v>5527</v>
      </c>
      <c r="B5588" s="134">
        <f>'Revenues 9-14'!F109</f>
        <v>4701747</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1927033</v>
      </c>
      <c r="D5615" s="2" t="str">
        <f t="shared" si="86"/>
        <v>Error?</v>
      </c>
    </row>
    <row r="5616" spans="1:4" x14ac:dyDescent="0.2">
      <c r="A5616" s="10">
        <v>5555</v>
      </c>
      <c r="D5616" s="2" t="str">
        <f t="shared" si="86"/>
        <v>OK</v>
      </c>
    </row>
    <row r="5617" spans="1:4" x14ac:dyDescent="0.2">
      <c r="A5617" s="5">
        <v>5556</v>
      </c>
      <c r="B5617" s="134">
        <f>'Revenues 9-14'!F152</f>
        <v>1016621</v>
      </c>
      <c r="D5617" s="2" t="str">
        <f t="shared" si="86"/>
        <v>Error?</v>
      </c>
    </row>
    <row r="5618" spans="1:4" x14ac:dyDescent="0.2">
      <c r="A5618" s="5">
        <v>5557</v>
      </c>
      <c r="B5618" s="134">
        <f>'Revenues 9-14'!F154</f>
        <v>2943654</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2943654</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2943654</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7645401</v>
      </c>
      <c r="C5720" s="2" t="s">
        <v>593</v>
      </c>
      <c r="D5720" s="2" t="str">
        <f t="shared" si="88"/>
        <v>Error?</v>
      </c>
    </row>
    <row r="5721" spans="1:4" x14ac:dyDescent="0.2">
      <c r="A5721" s="5">
        <v>5660</v>
      </c>
      <c r="B5721" s="134">
        <f>'Revenues 9-14'!G5</f>
        <v>3191342</v>
      </c>
      <c r="D5721" s="2" t="str">
        <f t="shared" si="88"/>
        <v>Error?</v>
      </c>
    </row>
    <row r="5722" spans="1:4" x14ac:dyDescent="0.2">
      <c r="A5722" s="5">
        <v>5661</v>
      </c>
      <c r="B5722" s="134">
        <f>'Revenues 9-14'!G7</f>
        <v>0</v>
      </c>
      <c r="D5722" s="2" t="str">
        <f t="shared" si="88"/>
        <v>Error?</v>
      </c>
    </row>
    <row r="5723" spans="1:4" x14ac:dyDescent="0.2">
      <c r="A5723" s="5">
        <v>5662</v>
      </c>
      <c r="B5723" s="134">
        <f>'Revenues 9-14'!G8</f>
        <v>695250</v>
      </c>
      <c r="D5723" s="2" t="str">
        <f t="shared" si="88"/>
        <v>Error?</v>
      </c>
    </row>
    <row r="5724" spans="1:4" x14ac:dyDescent="0.2">
      <c r="A5724" s="5">
        <v>5663</v>
      </c>
      <c r="B5724" s="134">
        <f>'Revenues 9-14'!G11</f>
        <v>0</v>
      </c>
      <c r="D5724" s="2" t="str">
        <f t="shared" si="88"/>
        <v>Error?</v>
      </c>
    </row>
    <row r="5725" spans="1:4" x14ac:dyDescent="0.2">
      <c r="A5725" s="5">
        <v>5664</v>
      </c>
      <c r="B5725" s="134">
        <f>'Revenues 9-14'!G12</f>
        <v>3886592</v>
      </c>
      <c r="C5725" s="2" t="s">
        <v>593</v>
      </c>
      <c r="D5725" s="2" t="str">
        <f t="shared" si="88"/>
        <v>Error?</v>
      </c>
    </row>
    <row r="5726" spans="1:4" x14ac:dyDescent="0.2">
      <c r="A5726" s="5">
        <v>5665</v>
      </c>
      <c r="B5726" s="134">
        <f>'Revenues 9-14'!G14</f>
        <v>736</v>
      </c>
      <c r="D5726" s="2" t="str">
        <f t="shared" si="88"/>
        <v>Error?</v>
      </c>
    </row>
    <row r="5727" spans="1:4" x14ac:dyDescent="0.2">
      <c r="A5727" s="5">
        <v>5666</v>
      </c>
      <c r="B5727" s="134">
        <f>'Revenues 9-14'!G15</f>
        <v>563</v>
      </c>
      <c r="D5727" s="2" t="str">
        <f t="shared" si="88"/>
        <v>Error?</v>
      </c>
    </row>
    <row r="5728" spans="1:4" x14ac:dyDescent="0.2">
      <c r="A5728" s="5">
        <v>5667</v>
      </c>
      <c r="B5728" s="134">
        <f>'Revenues 9-14'!G16</f>
        <v>189452</v>
      </c>
      <c r="D5728" s="2" t="str">
        <f t="shared" si="88"/>
        <v>Error?</v>
      </c>
    </row>
    <row r="5729" spans="1:4" x14ac:dyDescent="0.2">
      <c r="A5729" s="5">
        <v>5668</v>
      </c>
      <c r="B5729" s="134">
        <f>'Revenues 9-14'!G17</f>
        <v>953</v>
      </c>
      <c r="D5729" s="2" t="str">
        <f t="shared" si="88"/>
        <v>Error?</v>
      </c>
    </row>
    <row r="5730" spans="1:4" x14ac:dyDescent="0.2">
      <c r="A5730" s="5">
        <v>5669</v>
      </c>
      <c r="B5730" s="134">
        <f>'Revenues 9-14'!G18</f>
        <v>191704</v>
      </c>
      <c r="C5730" s="2" t="s">
        <v>593</v>
      </c>
      <c r="D5730" s="2" t="str">
        <f t="shared" si="88"/>
        <v>Error?</v>
      </c>
    </row>
    <row r="5731" spans="1:4" x14ac:dyDescent="0.2">
      <c r="A5731" s="5">
        <v>5670</v>
      </c>
      <c r="B5731" s="134">
        <f>'Revenues 9-14'!G65</f>
        <v>11956</v>
      </c>
      <c r="D5731" s="2" t="str">
        <f t="shared" si="88"/>
        <v>Error?</v>
      </c>
    </row>
    <row r="5732" spans="1:4" x14ac:dyDescent="0.2">
      <c r="A5732" s="5">
        <v>5671</v>
      </c>
      <c r="B5732" s="134">
        <f>'Revenues 9-14'!G66</f>
        <v>0</v>
      </c>
      <c r="D5732" s="2" t="str">
        <f t="shared" si="88"/>
        <v>Error?</v>
      </c>
    </row>
    <row r="5733" spans="1:4" x14ac:dyDescent="0.2">
      <c r="A5733" s="5">
        <v>5672</v>
      </c>
      <c r="B5733" s="134">
        <f>'Revenues 9-14'!G67</f>
        <v>11956</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4090252</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889853</v>
      </c>
      <c r="D5879" s="2" t="str">
        <f t="shared" si="90"/>
        <v>Error?</v>
      </c>
    </row>
    <row r="5880" spans="1:4" x14ac:dyDescent="0.2">
      <c r="A5880" s="5">
        <v>5819</v>
      </c>
      <c r="B5880" s="134">
        <f>'Revenues 9-14'!H66</f>
        <v>0</v>
      </c>
      <c r="D5880" s="2" t="str">
        <f t="shared" si="90"/>
        <v>Error?</v>
      </c>
    </row>
    <row r="5881" spans="1:4" x14ac:dyDescent="0.2">
      <c r="A5881" s="5">
        <v>5820</v>
      </c>
      <c r="B5881" s="134">
        <f>'Revenues 9-14'!H67</f>
        <v>889853</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22048</v>
      </c>
      <c r="D5885" s="2" t="str">
        <f t="shared" si="90"/>
        <v>Error?</v>
      </c>
    </row>
    <row r="5886" spans="1:4" x14ac:dyDescent="0.2">
      <c r="A5886" s="5">
        <v>5825</v>
      </c>
      <c r="B5886" s="134">
        <f>'Revenues 9-14'!H108</f>
        <v>1442974</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2332827</v>
      </c>
      <c r="C5915" s="2" t="s">
        <v>593</v>
      </c>
      <c r="D5915" s="2" t="str">
        <f t="shared" si="91"/>
        <v>Error?</v>
      </c>
    </row>
    <row r="5916" spans="1:4" x14ac:dyDescent="0.2">
      <c r="A5916" s="5">
        <v>5855</v>
      </c>
      <c r="B5916" s="134">
        <f>'Revenues 9-14'!I5</f>
        <v>34296</v>
      </c>
      <c r="D5916" s="2" t="str">
        <f t="shared" si="91"/>
        <v>Error?</v>
      </c>
    </row>
    <row r="5917" spans="1:4" x14ac:dyDescent="0.2">
      <c r="A5917" s="5">
        <v>5856</v>
      </c>
      <c r="B5917" s="134">
        <f>'Revenues 9-14'!I11</f>
        <v>0</v>
      </c>
      <c r="D5917" s="2" t="str">
        <f t="shared" si="91"/>
        <v>Error?</v>
      </c>
    </row>
    <row r="5918" spans="1:4" x14ac:dyDescent="0.2">
      <c r="A5918" s="5">
        <v>5857</v>
      </c>
      <c r="B5918" s="134">
        <f>'Revenues 9-14'!I12</f>
        <v>34296</v>
      </c>
      <c r="C5918" s="2" t="s">
        <v>593</v>
      </c>
      <c r="D5918" s="2" t="str">
        <f t="shared" si="91"/>
        <v>Error?</v>
      </c>
    </row>
    <row r="5919" spans="1:4" x14ac:dyDescent="0.2">
      <c r="A5919" s="5">
        <v>5858</v>
      </c>
      <c r="B5919" s="134">
        <f>'Revenues 9-14'!I14</f>
        <v>31</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16</v>
      </c>
      <c r="D5922" s="2" t="str">
        <f t="shared" si="91"/>
        <v>Error?</v>
      </c>
    </row>
    <row r="5923" spans="1:4" x14ac:dyDescent="0.2">
      <c r="A5923" s="5">
        <v>5862</v>
      </c>
      <c r="B5923" s="134">
        <f>'Revenues 9-14'!I18</f>
        <v>47</v>
      </c>
      <c r="C5923" s="2" t="s">
        <v>593</v>
      </c>
      <c r="D5923" s="2" t="str">
        <f t="shared" si="91"/>
        <v>Error?</v>
      </c>
    </row>
    <row r="5924" spans="1:4" x14ac:dyDescent="0.2">
      <c r="A5924" s="5">
        <v>5863</v>
      </c>
      <c r="B5924" s="134">
        <f>'Revenues 9-14'!I65</f>
        <v>100817</v>
      </c>
      <c r="D5924" s="2" t="str">
        <f t="shared" si="91"/>
        <v>Error?</v>
      </c>
    </row>
    <row r="5925" spans="1:4" x14ac:dyDescent="0.2">
      <c r="A5925" s="5">
        <v>5864</v>
      </c>
      <c r="B5925" s="134">
        <f>'Revenues 9-14'!I66</f>
        <v>0</v>
      </c>
      <c r="D5925" s="2" t="str">
        <f t="shared" si="91"/>
        <v>Error?</v>
      </c>
    </row>
    <row r="5926" spans="1:4" x14ac:dyDescent="0.2">
      <c r="A5926" s="5">
        <v>5865</v>
      </c>
      <c r="B5926" s="134">
        <f>'Revenues 9-14'!I67</f>
        <v>100817</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135160</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99173</v>
      </c>
      <c r="D5985" s="2" t="str">
        <f t="shared" si="92"/>
        <v>Error?</v>
      </c>
    </row>
    <row r="5986" spans="1:4" x14ac:dyDescent="0.2">
      <c r="A5986" s="5">
        <v>5925</v>
      </c>
      <c r="B5986" s="134">
        <f>'Revenues 9-14'!K11</f>
        <v>0</v>
      </c>
      <c r="D5986" s="2" t="str">
        <f t="shared" si="92"/>
        <v>Error?</v>
      </c>
    </row>
    <row r="5987" spans="1:4" x14ac:dyDescent="0.2">
      <c r="A5987" s="5">
        <v>5926</v>
      </c>
      <c r="B5987" s="134">
        <f>'Revenues 9-14'!K12</f>
        <v>99173</v>
      </c>
      <c r="C5987" s="2" t="s">
        <v>593</v>
      </c>
      <c r="D5987" s="2" t="str">
        <f t="shared" si="92"/>
        <v>Error?</v>
      </c>
    </row>
    <row r="5988" spans="1:4" x14ac:dyDescent="0.2">
      <c r="A5988" s="5">
        <v>5927</v>
      </c>
      <c r="B5988" s="134">
        <f>'Revenues 9-14'!K14</f>
        <v>8</v>
      </c>
      <c r="D5988" s="2" t="str">
        <f t="shared" si="92"/>
        <v>Error?</v>
      </c>
    </row>
    <row r="5989" spans="1:4" x14ac:dyDescent="0.2">
      <c r="A5989" s="5">
        <v>5928</v>
      </c>
      <c r="B5989" s="134">
        <f>'Revenues 9-14'!K15</f>
        <v>6</v>
      </c>
      <c r="D5989" s="2" t="str">
        <f t="shared" si="92"/>
        <v>Error?</v>
      </c>
    </row>
    <row r="5990" spans="1:4" x14ac:dyDescent="0.2">
      <c r="A5990" s="5">
        <v>5929</v>
      </c>
      <c r="B5990" s="134">
        <f>'Revenues 9-14'!K16</f>
        <v>0</v>
      </c>
      <c r="D5990" s="2" t="str">
        <f t="shared" si="92"/>
        <v>Error?</v>
      </c>
    </row>
    <row r="5991" spans="1:4" x14ac:dyDescent="0.2">
      <c r="A5991" s="5">
        <v>5930</v>
      </c>
      <c r="B5991" s="134">
        <f>'Revenues 9-14'!K17</f>
        <v>10</v>
      </c>
      <c r="D5991" s="2" t="str">
        <f t="shared" si="92"/>
        <v>Error?</v>
      </c>
    </row>
    <row r="5992" spans="1:4" x14ac:dyDescent="0.2">
      <c r="A5992" s="5">
        <v>5931</v>
      </c>
      <c r="B5992" s="134">
        <f>'Revenues 9-14'!K18</f>
        <v>24</v>
      </c>
      <c r="C5992" s="2" t="s">
        <v>593</v>
      </c>
      <c r="D5992" s="2" t="str">
        <f t="shared" si="92"/>
        <v>Error?</v>
      </c>
    </row>
    <row r="5993" spans="1:4" x14ac:dyDescent="0.2">
      <c r="A5993" s="5">
        <v>5932</v>
      </c>
      <c r="B5993" s="134">
        <f>'Revenues 9-14'!K65</f>
        <v>938</v>
      </c>
      <c r="D5993" s="2" t="str">
        <f t="shared" si="92"/>
        <v>Error?</v>
      </c>
    </row>
    <row r="5994" spans="1:4" x14ac:dyDescent="0.2">
      <c r="A5994" s="5">
        <v>5933</v>
      </c>
      <c r="B5994" s="134">
        <f>'Revenues 9-14'!K66</f>
        <v>0</v>
      </c>
      <c r="D5994" s="2" t="str">
        <f t="shared" si="92"/>
        <v>Error?</v>
      </c>
    </row>
    <row r="5995" spans="1:4" x14ac:dyDescent="0.2">
      <c r="A5995" s="5">
        <v>5934</v>
      </c>
      <c r="B5995" s="134">
        <f>'Revenues 9-14'!K67</f>
        <v>938</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9823</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9823</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109958</v>
      </c>
      <c r="C6023" s="2" t="s">
        <v>593</v>
      </c>
      <c r="D6023" s="2" t="str">
        <f t="shared" si="93"/>
        <v>Error?</v>
      </c>
    </row>
    <row r="6024" spans="1:5" x14ac:dyDescent="0.2">
      <c r="A6024" s="5">
        <v>5963</v>
      </c>
      <c r="B6024" s="134">
        <f>'Revenues 9-14'!G109</f>
        <v>4090252</v>
      </c>
      <c r="C6024" s="2" t="s">
        <v>593</v>
      </c>
      <c r="D6024" s="2" t="str">
        <f t="shared" si="93"/>
        <v>Error?</v>
      </c>
    </row>
    <row r="6025" spans="1:5" x14ac:dyDescent="0.2">
      <c r="A6025" s="5">
        <v>5964</v>
      </c>
      <c r="B6025" s="134">
        <f>'Revenues 9-14'!H109</f>
        <v>2332827</v>
      </c>
      <c r="C6025" s="2" t="s">
        <v>593</v>
      </c>
      <c r="D6025" s="2" t="str">
        <f t="shared" si="93"/>
        <v>Error?</v>
      </c>
    </row>
    <row r="6026" spans="1:5" x14ac:dyDescent="0.2">
      <c r="A6026" s="5">
        <v>5965</v>
      </c>
      <c r="B6026" s="134">
        <f>'Revenues 9-14'!I109</f>
        <v>135160</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109958</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522674</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338639</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8924.7199999999993</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3451894</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1334562</v>
      </c>
      <c r="D6092" s="2" t="str">
        <f t="shared" si="94"/>
        <v>Error?</v>
      </c>
      <c r="E6092" s="2" t="s">
        <v>199</v>
      </c>
    </row>
    <row r="6093" spans="1:5" x14ac:dyDescent="0.2">
      <c r="A6093">
        <v>6032</v>
      </c>
      <c r="B6093" s="134">
        <f>'Assets-Liab 5-6'!F8</f>
        <v>781762</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442147</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765230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3133405</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3230544</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411220</v>
      </c>
      <c r="D6142" s="2" t="str">
        <f t="shared" si="94"/>
        <v>Error?</v>
      </c>
      <c r="E6142" s="2" t="s">
        <v>199</v>
      </c>
    </row>
    <row r="6143" spans="1:5" x14ac:dyDescent="0.2">
      <c r="A6143">
        <v>6082</v>
      </c>
      <c r="B6143" s="134">
        <f>'Assets-Liab 5-6'!D27</f>
        <v>318722</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0</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1097852</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14973</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74936</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5696094</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163347</v>
      </c>
      <c r="D6172" s="2" t="str">
        <f t="shared" si="95"/>
        <v>Error?</v>
      </c>
      <c r="E6172" s="2" t="s">
        <v>199</v>
      </c>
    </row>
    <row r="6173" spans="1:5" x14ac:dyDescent="0.2">
      <c r="A6173">
        <v>6112</v>
      </c>
      <c r="B6173" s="134">
        <f>'Assets-Liab 5-6'!G30</f>
        <v>237460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51790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51790</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3178754</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3230544</v>
      </c>
      <c r="D6216" s="2" t="str">
        <f t="shared" si="96"/>
        <v>Error?</v>
      </c>
      <c r="E6216" s="2" t="s">
        <v>199</v>
      </c>
    </row>
    <row r="6217" spans="1:5" x14ac:dyDescent="0.2">
      <c r="A6217">
        <v>6156</v>
      </c>
      <c r="B6217" s="134">
        <f>'Assets-Liab 5-6'!J4</f>
        <v>3178753</v>
      </c>
      <c r="D6217" s="2" t="str">
        <f t="shared" si="96"/>
        <v>Error?</v>
      </c>
      <c r="E6217" s="2" t="s">
        <v>199</v>
      </c>
    </row>
    <row r="6218" spans="1:5" x14ac:dyDescent="0.2">
      <c r="A6218">
        <v>6157</v>
      </c>
      <c r="B6218" s="134">
        <f>'Assets-Liab 5-6'!J5</f>
        <v>8906</v>
      </c>
      <c r="D6218" s="2" t="str">
        <f t="shared" si="96"/>
        <v>Error?</v>
      </c>
      <c r="E6218" s="2" t="s">
        <v>199</v>
      </c>
    </row>
    <row r="6219" spans="1:5" x14ac:dyDescent="0.2">
      <c r="A6219">
        <v>6158</v>
      </c>
      <c r="B6219" s="134">
        <f>'Assets-Liab 5-6'!J6</f>
        <v>42885</v>
      </c>
      <c r="D6219" s="2" t="str">
        <f t="shared" si="96"/>
        <v>Error?</v>
      </c>
      <c r="E6219" s="2" t="s">
        <v>199</v>
      </c>
    </row>
    <row r="6220" spans="1:5" x14ac:dyDescent="0.2">
      <c r="A6220">
        <v>6159</v>
      </c>
      <c r="B6220" s="134">
        <f>'Acct Summary 7-8'!J4</f>
        <v>519225</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519225</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519225</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1145041</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1145041</v>
      </c>
      <c r="D6229" s="2" t="str">
        <f t="shared" si="96"/>
        <v>Error?</v>
      </c>
      <c r="E6229" s="2" t="s">
        <v>199</v>
      </c>
    </row>
    <row r="6230" spans="1:5" x14ac:dyDescent="0.2">
      <c r="A6230">
        <v>6169</v>
      </c>
      <c r="B6230" s="134">
        <f>'Acct Summary 7-8'!J20</f>
        <v>-625816</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-625816</v>
      </c>
      <c r="D6263" s="2" t="str">
        <f t="shared" si="96"/>
        <v>Error?</v>
      </c>
      <c r="E6263" s="2" t="s">
        <v>199</v>
      </c>
    </row>
    <row r="6264" spans="1:5" x14ac:dyDescent="0.2">
      <c r="A6264">
        <v>6203</v>
      </c>
      <c r="B6264" s="134">
        <f>'Acct Summary 7-8'!J79</f>
        <v>3804570</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3178754</v>
      </c>
      <c r="D6266" s="2" t="str">
        <f t="shared" si="96"/>
        <v>Error?</v>
      </c>
      <c r="E6266" s="2" t="s">
        <v>199</v>
      </c>
    </row>
    <row r="6267" spans="1:5" x14ac:dyDescent="0.2">
      <c r="A6267">
        <v>6206</v>
      </c>
      <c r="B6267" s="134">
        <f>'Acct Summary 7-8'!C82</f>
        <v>1706006</v>
      </c>
      <c r="D6267" s="2" t="str">
        <f t="shared" si="96"/>
        <v>Error?</v>
      </c>
      <c r="E6267" s="2" t="s">
        <v>199</v>
      </c>
    </row>
    <row r="6268" spans="1:5" x14ac:dyDescent="0.2">
      <c r="A6268">
        <v>6207</v>
      </c>
      <c r="B6268" s="134">
        <f>'Acct Summary 7-8'!D82</f>
        <v>-1026098</v>
      </c>
      <c r="D6268" s="2" t="str">
        <f t="shared" si="96"/>
        <v>Error?</v>
      </c>
      <c r="E6268" s="2" t="s">
        <v>199</v>
      </c>
    </row>
    <row r="6269" spans="1:5" x14ac:dyDescent="0.2">
      <c r="A6269">
        <v>6208</v>
      </c>
      <c r="B6269" s="134">
        <f>'Acct Summary 7-8'!E82</f>
        <v>8711844</v>
      </c>
      <c r="D6269" s="2" t="str">
        <f t="shared" si="96"/>
        <v>Error?</v>
      </c>
      <c r="E6269" s="2" t="s">
        <v>199</v>
      </c>
    </row>
    <row r="6270" spans="1:5" x14ac:dyDescent="0.2">
      <c r="A6270">
        <v>6209</v>
      </c>
      <c r="B6270" s="134">
        <f>'Acct Summary 7-8'!F82</f>
        <v>852651</v>
      </c>
      <c r="D6270" s="2" t="str">
        <f t="shared" si="96"/>
        <v>Error?</v>
      </c>
      <c r="E6270" s="2" t="s">
        <v>199</v>
      </c>
    </row>
    <row r="6271" spans="1:5" x14ac:dyDescent="0.2">
      <c r="A6271">
        <v>6210</v>
      </c>
      <c r="B6271" s="134">
        <f>'Acct Summary 7-8'!G82</f>
        <v>-516395</v>
      </c>
      <c r="D6271" s="2" t="str">
        <f t="shared" ref="D6271:D6334" si="97">IF(ISBLANK(B6271),"OK",IF(A6271-B6271=0,"OK","Error?"))</f>
        <v>Error?</v>
      </c>
      <c r="E6271" s="2" t="s">
        <v>199</v>
      </c>
    </row>
    <row r="6272" spans="1:5" x14ac:dyDescent="0.2">
      <c r="A6272">
        <v>6211</v>
      </c>
      <c r="B6272" s="134">
        <f>'Acct Summary 7-8'!H82</f>
        <v>118640567</v>
      </c>
      <c r="D6272" s="2" t="str">
        <f t="shared" si="97"/>
        <v>Error?</v>
      </c>
      <c r="E6272" s="2" t="s">
        <v>199</v>
      </c>
    </row>
    <row r="6273" spans="1:5" x14ac:dyDescent="0.2">
      <c r="A6273">
        <v>6212</v>
      </c>
      <c r="B6273" s="134">
        <f>'Acct Summary 7-8'!I82</f>
        <v>70981</v>
      </c>
      <c r="D6273" s="2" t="str">
        <f t="shared" si="97"/>
        <v>Error?</v>
      </c>
      <c r="E6273" s="2" t="s">
        <v>199</v>
      </c>
    </row>
    <row r="6274" spans="1:5" x14ac:dyDescent="0.2">
      <c r="A6274">
        <v>6213</v>
      </c>
      <c r="B6274" s="134">
        <f>'Acct Summary 7-8'!J82</f>
        <v>-625816</v>
      </c>
      <c r="D6274" s="2" t="str">
        <f t="shared" si="97"/>
        <v>Error?</v>
      </c>
      <c r="E6274" s="2" t="s">
        <v>199</v>
      </c>
    </row>
    <row r="6275" spans="1:5" x14ac:dyDescent="0.2">
      <c r="A6275">
        <v>6214</v>
      </c>
      <c r="B6275" s="134">
        <f>'Acct Summary 7-8'!K82</f>
        <v>92057</v>
      </c>
      <c r="D6275" s="2" t="str">
        <f t="shared" si="97"/>
        <v>Error?</v>
      </c>
      <c r="E6275" s="2" t="s">
        <v>199</v>
      </c>
    </row>
    <row r="6276" spans="1:5" x14ac:dyDescent="0.2">
      <c r="A6276">
        <v>6215</v>
      </c>
      <c r="B6276" s="134">
        <f>'Acct Summary 7-8'!C83</f>
        <v>3.1470870638758655E-2</v>
      </c>
      <c r="D6276" s="2" t="str">
        <f t="shared" si="97"/>
        <v>Error?</v>
      </c>
      <c r="E6276" s="2" t="s">
        <v>199</v>
      </c>
    </row>
    <row r="6277" spans="1:5" x14ac:dyDescent="0.2">
      <c r="A6277">
        <v>6216</v>
      </c>
      <c r="B6277" s="134">
        <f>'Acct Summary 7-8'!D83</f>
        <v>-0.27258891434166899</v>
      </c>
      <c r="D6277" s="2" t="str">
        <f t="shared" si="97"/>
        <v>Error?</v>
      </c>
      <c r="E6277" s="2" t="s">
        <v>199</v>
      </c>
    </row>
    <row r="6278" spans="1:5" x14ac:dyDescent="0.2">
      <c r="A6278">
        <v>6217</v>
      </c>
      <c r="B6278" s="134">
        <f>'Acct Summary 7-8'!E83</f>
        <v>0.8278905271928706</v>
      </c>
      <c r="D6278" s="2" t="str">
        <f t="shared" si="97"/>
        <v>Error?</v>
      </c>
      <c r="E6278" s="2" t="s">
        <v>199</v>
      </c>
    </row>
    <row r="6279" spans="1:5" x14ac:dyDescent="0.2">
      <c r="A6279">
        <v>6218</v>
      </c>
      <c r="B6279" s="134">
        <f>'Acct Summary 7-8'!F83</f>
        <v>1.1315602281564607</v>
      </c>
      <c r="D6279" s="2" t="str">
        <f t="shared" si="97"/>
        <v>Error?</v>
      </c>
      <c r="E6279" s="2" t="s">
        <v>199</v>
      </c>
    </row>
    <row r="6280" spans="1:5" x14ac:dyDescent="0.2">
      <c r="A6280">
        <v>6219</v>
      </c>
      <c r="B6280" s="134">
        <f>'Acct Summary 7-8'!G83</f>
        <v>-0.51558810461627558</v>
      </c>
      <c r="D6280" s="2" t="str">
        <f t="shared" si="97"/>
        <v>Error?</v>
      </c>
      <c r="E6280" s="2" t="s">
        <v>199</v>
      </c>
    </row>
    <row r="6281" spans="1:5" x14ac:dyDescent="0.2">
      <c r="A6281">
        <v>6220</v>
      </c>
      <c r="B6281" s="134">
        <f>'Acct Summary 7-8'!H83</f>
        <v>0.98087918118938688</v>
      </c>
      <c r="D6281" s="2" t="str">
        <f t="shared" si="97"/>
        <v>Error?</v>
      </c>
      <c r="E6281" s="2" t="s">
        <v>199</v>
      </c>
    </row>
    <row r="6282" spans="1:5" x14ac:dyDescent="0.2">
      <c r="A6282">
        <v>6221</v>
      </c>
      <c r="B6282" s="134">
        <f>'Acct Summary 7-8'!I83</f>
        <v>5.6028836526055845E-3</v>
      </c>
      <c r="D6282" s="2" t="str">
        <f t="shared" si="97"/>
        <v>Error?</v>
      </c>
      <c r="E6282" s="2" t="s">
        <v>199</v>
      </c>
    </row>
    <row r="6283" spans="1:5" x14ac:dyDescent="0.2">
      <c r="A6283">
        <v>6222</v>
      </c>
      <c r="B6283" s="134">
        <f>'Acct Summary 7-8'!J83</f>
        <v>-0.19687462445977261</v>
      </c>
      <c r="D6283" s="2" t="str">
        <f t="shared" si="97"/>
        <v>Error?</v>
      </c>
      <c r="E6283" s="2" t="s">
        <v>199</v>
      </c>
    </row>
    <row r="6284" spans="1:5" x14ac:dyDescent="0.2">
      <c r="A6284">
        <v>6223</v>
      </c>
      <c r="B6284" s="134">
        <f>'Acct Summary 7-8'!K83</f>
        <v>0.32418774343045903</v>
      </c>
      <c r="D6284" s="2" t="str">
        <f t="shared" si="97"/>
        <v>Error?</v>
      </c>
      <c r="E6284" s="2" t="s">
        <v>199</v>
      </c>
    </row>
    <row r="6285" spans="1:5" x14ac:dyDescent="0.2">
      <c r="A6285">
        <v>6224</v>
      </c>
      <c r="B6285" s="134">
        <f>'Acct Summary 7-8'!E37</f>
        <v>732433</v>
      </c>
      <c r="D6285" s="2" t="str">
        <f t="shared" si="97"/>
        <v>Error?</v>
      </c>
      <c r="E6285" s="2" t="s">
        <v>199</v>
      </c>
    </row>
    <row r="6286" spans="1:5" x14ac:dyDescent="0.2">
      <c r="A6286">
        <v>6225</v>
      </c>
      <c r="B6286" s="134">
        <f>'Acct Summary 7-8'!E38</f>
        <v>41078</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490732</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490732</v>
      </c>
      <c r="D6301" s="2" t="str">
        <f t="shared" si="97"/>
        <v>Error?</v>
      </c>
      <c r="E6301" s="2" t="s">
        <v>199</v>
      </c>
    </row>
    <row r="6302" spans="1:5" x14ac:dyDescent="0.2">
      <c r="A6302">
        <v>6241</v>
      </c>
      <c r="B6302" s="134">
        <f>'Revenues 9-14'!J14</f>
        <v>207</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426</v>
      </c>
      <c r="D6305" s="2" t="str">
        <f t="shared" si="97"/>
        <v>Error?</v>
      </c>
      <c r="E6305" s="2" t="s">
        <v>199</v>
      </c>
    </row>
    <row r="6306" spans="1:5" x14ac:dyDescent="0.2">
      <c r="A6306">
        <v>6245</v>
      </c>
      <c r="B6306" s="134">
        <f>'Revenues 9-14'!J18</f>
        <v>633</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26860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26860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80558</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33050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1000</v>
      </c>
      <c r="D6350" s="2" t="str">
        <f t="shared" si="98"/>
        <v>Error?</v>
      </c>
      <c r="E6350" s="2" t="s">
        <v>199</v>
      </c>
    </row>
    <row r="6351" spans="1:5" x14ac:dyDescent="0.2">
      <c r="A6351">
        <v>6290</v>
      </c>
      <c r="B6351" s="134">
        <f>'Revenues 9-14'!J108</f>
        <v>1000</v>
      </c>
      <c r="D6351" s="2" t="str">
        <f t="shared" si="98"/>
        <v>Error?</v>
      </c>
      <c r="E6351" s="2" t="s">
        <v>199</v>
      </c>
    </row>
    <row r="6352" spans="1:5" x14ac:dyDescent="0.2">
      <c r="A6352">
        <v>6291</v>
      </c>
      <c r="B6352" s="134">
        <f>'Revenues 9-14'!J109</f>
        <v>519225</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1415923</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1415923</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0</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161601</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0</v>
      </c>
      <c r="D6880" s="2" t="str">
        <f t="shared" si="106"/>
        <v>Error?</v>
      </c>
    </row>
    <row r="6881" spans="1:4" x14ac:dyDescent="0.2">
      <c r="A6881">
        <v>6820</v>
      </c>
      <c r="B6881" s="134">
        <f>'Expenditures 15-22'!K22</f>
        <v>0</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0</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742</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742</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0</v>
      </c>
      <c r="D6983" s="2" t="str">
        <f t="shared" si="108"/>
        <v>Error?</v>
      </c>
    </row>
    <row r="6984" spans="1:4" x14ac:dyDescent="0.2">
      <c r="A6984">
        <v>6923</v>
      </c>
      <c r="B6984" s="134">
        <f>'Expenditures 15-22'!K86</f>
        <v>0</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0</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742</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0</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0</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1145041</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6274957</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519225</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454766</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13426</v>
      </c>
      <c r="D7075" s="2" t="str">
        <f t="shared" si="109"/>
        <v>Error?</v>
      </c>
    </row>
    <row r="7076" spans="1:4" x14ac:dyDescent="0.2">
      <c r="A7076">
        <v>7015</v>
      </c>
      <c r="B7076" s="134">
        <f>'Expenditures 15-22'!K224</f>
        <v>13426</v>
      </c>
      <c r="D7076" s="2" t="str">
        <f t="shared" si="109"/>
        <v>Error?</v>
      </c>
    </row>
    <row r="7077" spans="1:4" x14ac:dyDescent="0.2">
      <c r="A7077">
        <v>7016</v>
      </c>
      <c r="B7077" s="134">
        <f>'Expenditures 15-22'!D226</f>
        <v>2053</v>
      </c>
      <c r="D7077" s="2" t="str">
        <f t="shared" si="109"/>
        <v>Error?</v>
      </c>
    </row>
    <row r="7078" spans="1:4" x14ac:dyDescent="0.2">
      <c r="A7078">
        <v>7017</v>
      </c>
      <c r="B7078" s="134">
        <f>'Expenditures 15-22'!K226</f>
        <v>2053</v>
      </c>
      <c r="D7078" s="2" t="str">
        <f t="shared" si="109"/>
        <v>Error?</v>
      </c>
    </row>
    <row r="7079" spans="1:4" x14ac:dyDescent="0.2">
      <c r="A7079">
        <v>7018</v>
      </c>
      <c r="B7079" s="134">
        <f>'Expenditures 15-22'!D232</f>
        <v>74986</v>
      </c>
      <c r="D7079" s="2" t="str">
        <f t="shared" si="109"/>
        <v>Error?</v>
      </c>
    </row>
    <row r="7080" spans="1:4" x14ac:dyDescent="0.2">
      <c r="A7080">
        <v>7019</v>
      </c>
      <c r="B7080" s="134">
        <f>'Expenditures 15-22'!K232</f>
        <v>74986</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19528</v>
      </c>
      <c r="D7087" s="2" t="str">
        <f t="shared" si="109"/>
        <v>Error?</v>
      </c>
    </row>
    <row r="7088" spans="1:4" x14ac:dyDescent="0.2">
      <c r="A7088">
        <v>7027</v>
      </c>
      <c r="B7088" s="134">
        <f>'Expenditures 15-22'!K257</f>
        <v>19528</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397981</v>
      </c>
      <c r="D7091" s="2" t="str">
        <f t="shared" si="109"/>
        <v>Error?</v>
      </c>
    </row>
    <row r="7092" spans="1:4" x14ac:dyDescent="0.2">
      <c r="A7092">
        <v>7031</v>
      </c>
      <c r="B7092" s="134">
        <f>'Expenditures 15-22'!K259</f>
        <v>397981</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397981</v>
      </c>
      <c r="D7095" s="2" t="str">
        <f t="shared" si="109"/>
        <v>Error?</v>
      </c>
    </row>
    <row r="7096" spans="1:4" x14ac:dyDescent="0.2">
      <c r="A7096">
        <v>7035</v>
      </c>
      <c r="B7096" s="134">
        <f>'Expenditures 15-22'!K261</f>
        <v>397981</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-6458932</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3003</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3003</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1139545</v>
      </c>
      <c r="D7156" s="2" t="str">
        <f t="shared" si="110"/>
        <v>Error?</v>
      </c>
    </row>
    <row r="7157" spans="1:4" x14ac:dyDescent="0.2">
      <c r="A7157">
        <v>7096</v>
      </c>
      <c r="B7157" s="134">
        <f>'Expenditures 15-22'!F330</f>
        <v>5496</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1145041</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17901</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17901</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142291</v>
      </c>
      <c r="D7263" s="2" t="str">
        <f t="shared" si="112"/>
        <v>Error?</v>
      </c>
    </row>
    <row r="7264" spans="1:4" x14ac:dyDescent="0.2">
      <c r="A7264">
        <f t="shared" si="113"/>
        <v>7203</v>
      </c>
      <c r="B7264" s="134">
        <f>'Expenditures 15-22'!D17</f>
        <v>19310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3165970</v>
      </c>
      <c r="D7597" s="2" t="str">
        <f t="shared" si="122"/>
        <v>Error?</v>
      </c>
      <c r="E7597" s="2" t="s">
        <v>19</v>
      </c>
    </row>
    <row r="7598" spans="1:5" x14ac:dyDescent="0.2">
      <c r="A7598">
        <f t="shared" si="123"/>
        <v>7537</v>
      </c>
      <c r="B7598" s="134">
        <f>'Cap Outlay Deprec 26'!D6</f>
        <v>92552</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3258522</v>
      </c>
      <c r="D7600" s="2" t="str">
        <f t="shared" si="122"/>
        <v>Error?</v>
      </c>
      <c r="E7600" s="2" t="s">
        <v>19</v>
      </c>
    </row>
    <row r="7601" spans="1:5" x14ac:dyDescent="0.2">
      <c r="A7601">
        <f t="shared" si="123"/>
        <v>7540</v>
      </c>
      <c r="B7601" s="134">
        <f>'Cap Outlay Deprec 26'!H6</f>
        <v>2564369</v>
      </c>
      <c r="D7601" s="2" t="str">
        <f t="shared" si="122"/>
        <v>Error?</v>
      </c>
      <c r="E7601" s="2" t="s">
        <v>19</v>
      </c>
    </row>
    <row r="7602" spans="1:5" x14ac:dyDescent="0.2">
      <c r="A7602">
        <f t="shared" si="123"/>
        <v>7541</v>
      </c>
      <c r="B7602" s="134">
        <f>'Cap Outlay Deprec 26'!I6</f>
        <v>65170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2629539</v>
      </c>
      <c r="D7604" s="2" t="str">
        <f t="shared" si="122"/>
        <v>Error?</v>
      </c>
      <c r="E7604" s="2" t="s">
        <v>19</v>
      </c>
    </row>
    <row r="7605" spans="1:5" x14ac:dyDescent="0.2">
      <c r="A7605">
        <f t="shared" si="123"/>
        <v>7544</v>
      </c>
      <c r="B7605" s="134">
        <f>'Cap Outlay Deprec 26'!L6</f>
        <v>628983</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742</v>
      </c>
      <c r="D7624" s="2" t="str">
        <f t="shared" si="124"/>
        <v>Error?</v>
      </c>
      <c r="E7624" s="2" t="s">
        <v>19</v>
      </c>
    </row>
    <row r="7625" spans="1:5" x14ac:dyDescent="0.2">
      <c r="A7625">
        <f t="shared" si="123"/>
        <v>7564</v>
      </c>
      <c r="B7625" s="134">
        <f>'Cap Outlay Deprec 26'!I17</f>
        <v>74.2</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4409915.2</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1420926</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711221</v>
      </c>
      <c r="D7657" s="2" t="str">
        <f t="shared" si="124"/>
        <v>Error?</v>
      </c>
      <c r="E7657" s="2" t="s">
        <v>880</v>
      </c>
    </row>
    <row r="7658" spans="1:5" x14ac:dyDescent="0.2">
      <c r="A7658">
        <v>7597</v>
      </c>
      <c r="B7658" s="134">
        <f>'Acct Summary 7-8'!D57</f>
        <v>21212</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34427</v>
      </c>
      <c r="D7666" s="2" t="str">
        <f t="shared" si="124"/>
        <v>Error?</v>
      </c>
      <c r="E7666" s="2" t="s">
        <v>880</v>
      </c>
    </row>
    <row r="7667" spans="1:5" x14ac:dyDescent="0.2">
      <c r="A7667">
        <v>7606</v>
      </c>
      <c r="B7667" s="134">
        <f>'Acct Summary 7-8'!D61</f>
        <v>6651</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33050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81164</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114214</v>
      </c>
      <c r="D7719" s="2" t="str">
        <f t="shared" si="126"/>
        <v>Error?</v>
      </c>
      <c r="E7719" s="2" t="s">
        <v>880</v>
      </c>
    </row>
    <row r="7720" spans="1:6" x14ac:dyDescent="0.2">
      <c r="A7720">
        <v>7659</v>
      </c>
      <c r="B7720" s="134">
        <f>'Rest Tax Levies-Tort Im 25'!H14</f>
        <v>1612258</v>
      </c>
      <c r="D7720" s="2" t="str">
        <f t="shared" si="126"/>
        <v>Error?</v>
      </c>
      <c r="E7720" s="2" t="s">
        <v>880</v>
      </c>
    </row>
    <row r="7721" spans="1:6" x14ac:dyDescent="0.2">
      <c r="A7721">
        <v>7660</v>
      </c>
      <c r="B7721" s="134">
        <f>'Rest Tax Levies-Tort Im 25'!K14</f>
        <v>114214</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1415923</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934020</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934020</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1963</v>
      </c>
    </row>
    <row r="7775" spans="1:5" x14ac:dyDescent="0.2">
      <c r="A7775">
        <v>7714</v>
      </c>
      <c r="B7775" s="134">
        <f>'Expenditures 15-22'!H134</f>
        <v>0</v>
      </c>
      <c r="D7775" s="2" t="str">
        <f t="shared" si="127"/>
        <v>Error?</v>
      </c>
      <c r="E7775" s="4" t="s">
        <v>1963</v>
      </c>
    </row>
    <row r="7776" spans="1:5" x14ac:dyDescent="0.2">
      <c r="A7776">
        <v>7715</v>
      </c>
      <c r="B7776" s="134">
        <f>'Expenditures 15-22'!K134</f>
        <v>0</v>
      </c>
      <c r="D7776" s="2" t="str">
        <f t="shared" si="127"/>
        <v>Error?</v>
      </c>
      <c r="E7776" s="4" t="s">
        <v>1963</v>
      </c>
    </row>
    <row r="7777" spans="1:5" x14ac:dyDescent="0.2">
      <c r="A7777">
        <v>7716</v>
      </c>
      <c r="B7777" s="134">
        <f>'Expenditures 15-22'!H158</f>
        <v>0</v>
      </c>
      <c r="D7777" s="2" t="str">
        <f t="shared" si="127"/>
        <v>Error?</v>
      </c>
      <c r="E7777" s="4" t="s">
        <v>1963</v>
      </c>
    </row>
    <row r="7778" spans="1:5" x14ac:dyDescent="0.2">
      <c r="A7778">
        <v>7717</v>
      </c>
      <c r="B7778" s="134">
        <f>'Expenditures 15-22'!K158</f>
        <v>0</v>
      </c>
      <c r="D7778" s="2" t="str">
        <f t="shared" si="127"/>
        <v>Error?</v>
      </c>
      <c r="E7778" s="4" t="s">
        <v>1963</v>
      </c>
    </row>
    <row r="7779" spans="1:5" x14ac:dyDescent="0.2">
      <c r="A7779">
        <v>7718</v>
      </c>
      <c r="B7779" s="134">
        <f>'Expenditures 15-22'!H159</f>
        <v>0</v>
      </c>
      <c r="D7779" s="2" t="str">
        <f t="shared" si="127"/>
        <v>Error?</v>
      </c>
      <c r="E7779" s="4" t="s">
        <v>1963</v>
      </c>
    </row>
    <row r="7780" spans="1:5" x14ac:dyDescent="0.2">
      <c r="A7780">
        <v>7719</v>
      </c>
      <c r="B7780" s="134">
        <f>'Expenditures 15-22'!K159</f>
        <v>0</v>
      </c>
      <c r="D7780" s="2" t="str">
        <f t="shared" si="127"/>
        <v>Error?</v>
      </c>
      <c r="E7780" s="4" t="s">
        <v>1963</v>
      </c>
    </row>
    <row r="7781" spans="1:5" x14ac:dyDescent="0.2">
      <c r="A7781">
        <v>7720</v>
      </c>
      <c r="B7781" s="134" t="e">
        <f>'Expenditures 15-22'!#REF!</f>
        <v>#REF!</v>
      </c>
      <c r="D7781" s="2" t="e">
        <f t="shared" si="127"/>
        <v>#REF!</v>
      </c>
      <c r="E7781" s="4" t="s">
        <v>1963</v>
      </c>
    </row>
    <row r="7782" spans="1:5" x14ac:dyDescent="0.2">
      <c r="A7782">
        <v>7721</v>
      </c>
      <c r="B7782" s="134" t="e">
        <f>'Expenditures 15-22'!#REF!</f>
        <v>#REF!</v>
      </c>
      <c r="D7782" s="2" t="e">
        <f t="shared" si="127"/>
        <v>#REF!</v>
      </c>
      <c r="E7782" s="4" t="s">
        <v>1963</v>
      </c>
    </row>
    <row r="7783" spans="1:5" x14ac:dyDescent="0.2">
      <c r="A7783">
        <v>7722</v>
      </c>
      <c r="B7783" s="134">
        <f>'Expenditures 15-22'!D289</f>
        <v>0</v>
      </c>
      <c r="D7783" s="2" t="str">
        <f t="shared" si="127"/>
        <v>Error?</v>
      </c>
      <c r="E7783" s="4" t="s">
        <v>1963</v>
      </c>
    </row>
    <row r="7784" spans="1:5" x14ac:dyDescent="0.2">
      <c r="A7784">
        <v>7723</v>
      </c>
      <c r="B7784" s="134">
        <f>'Expenditures 15-22'!K289</f>
        <v>0</v>
      </c>
      <c r="D7784" s="2" t="str">
        <f t="shared" si="127"/>
        <v>Error?</v>
      </c>
      <c r="E7784" s="4" t="s">
        <v>1963</v>
      </c>
    </row>
    <row r="7785" spans="1:5" x14ac:dyDescent="0.2">
      <c r="A7785">
        <v>7724</v>
      </c>
      <c r="B7785" s="134">
        <f>'Expenditures 15-22'!H343</f>
        <v>0</v>
      </c>
      <c r="D7785" s="2" t="str">
        <f t="shared" si="127"/>
        <v>Error?</v>
      </c>
      <c r="E7785" s="4" t="s">
        <v>1963</v>
      </c>
    </row>
    <row r="7786" spans="1:5" x14ac:dyDescent="0.2">
      <c r="A7786">
        <v>7725</v>
      </c>
      <c r="B7786" s="134">
        <f>'Expenditures 15-22'!K343</f>
        <v>-625816</v>
      </c>
      <c r="D7786" s="2" t="str">
        <f t="shared" si="127"/>
        <v>Error?</v>
      </c>
      <c r="E7786" s="4" t="s">
        <v>1963</v>
      </c>
    </row>
    <row r="7787" spans="1:5" x14ac:dyDescent="0.2">
      <c r="A7787">
        <v>7726</v>
      </c>
      <c r="B7787" s="134">
        <f>'Expenditures 15-22'!H344</f>
        <v>0</v>
      </c>
      <c r="D7787" s="2" t="str">
        <f t="shared" si="127"/>
        <v>Error?</v>
      </c>
      <c r="E7787" s="4" t="s">
        <v>1963</v>
      </c>
    </row>
    <row r="7788" spans="1:5" x14ac:dyDescent="0.2">
      <c r="A7788">
        <v>7727</v>
      </c>
      <c r="B7788" s="134">
        <f>'Expenditures 15-22'!K344</f>
        <v>0</v>
      </c>
      <c r="D7788" s="2" t="str">
        <f t="shared" si="127"/>
        <v>Error?</v>
      </c>
      <c r="E7788" s="4" t="s">
        <v>1963</v>
      </c>
    </row>
    <row r="7789" spans="1:5" x14ac:dyDescent="0.2">
      <c r="A7789">
        <v>7728</v>
      </c>
      <c r="B7789" s="134">
        <f>'Expenditures 15-22'!H345</f>
        <v>0</v>
      </c>
      <c r="D7789" s="2" t="str">
        <f t="shared" si="127"/>
        <v>Error?</v>
      </c>
      <c r="E7789" s="4" t="s">
        <v>1963</v>
      </c>
    </row>
    <row r="7790" spans="1:5" x14ac:dyDescent="0.2">
      <c r="A7790">
        <v>7729</v>
      </c>
      <c r="B7790" s="134">
        <f>'Expenditures 15-22'!K345</f>
        <v>0</v>
      </c>
      <c r="D7790" s="2" t="str">
        <f t="shared" si="127"/>
        <v>Error?</v>
      </c>
      <c r="E7790" s="4" t="s">
        <v>1963</v>
      </c>
    </row>
    <row r="7791" spans="1:5" x14ac:dyDescent="0.2">
      <c r="A7791">
        <v>7730</v>
      </c>
      <c r="B7791" s="134">
        <f>'Expenditures 15-22'!H367</f>
        <v>0</v>
      </c>
      <c r="D7791" s="2" t="str">
        <f t="shared" si="127"/>
        <v>Error?</v>
      </c>
      <c r="E7791" s="4" t="s">
        <v>1963</v>
      </c>
    </row>
    <row r="7792" spans="1:5" x14ac:dyDescent="0.2">
      <c r="A7792">
        <v>7731</v>
      </c>
      <c r="B7792" s="134">
        <f>'Expenditures 15-22'!K367</f>
        <v>17901</v>
      </c>
      <c r="D7792" s="2" t="str">
        <f t="shared" si="127"/>
        <v>Error?</v>
      </c>
      <c r="E7792" s="4" t="s">
        <v>1963</v>
      </c>
    </row>
    <row r="7793" spans="1:5" x14ac:dyDescent="0.2">
      <c r="A7793">
        <v>7732</v>
      </c>
      <c r="B7793" s="134">
        <f>'Expenditures 15-22'!H368</f>
        <v>0</v>
      </c>
      <c r="D7793" s="2" t="str">
        <f t="shared" si="127"/>
        <v>Error?</v>
      </c>
      <c r="E7793" s="4" t="s">
        <v>1963</v>
      </c>
    </row>
    <row r="7794" spans="1:5" x14ac:dyDescent="0.2">
      <c r="A7794">
        <v>7733</v>
      </c>
      <c r="B7794" s="134">
        <f>'Expenditures 15-22'!K368</f>
        <v>92057</v>
      </c>
      <c r="D7794" s="2" t="str">
        <f t="shared" si="127"/>
        <v>Error?</v>
      </c>
      <c r="E7794" s="4" t="s">
        <v>1963</v>
      </c>
    </row>
    <row r="7795" spans="1:5" x14ac:dyDescent="0.2">
      <c r="A7795">
        <v>7734</v>
      </c>
      <c r="B7795" s="134">
        <f>'Expenditures 15-22'!E139</f>
        <v>0</v>
      </c>
      <c r="D7795" s="2" t="str">
        <f t="shared" si="127"/>
        <v>Error?</v>
      </c>
      <c r="E7795" s="4" t="s">
        <v>1963</v>
      </c>
    </row>
    <row r="7796" spans="1:5" x14ac:dyDescent="0.2">
      <c r="A7796">
        <v>7735</v>
      </c>
      <c r="B7796" s="134" t="str">
        <f>'Acct Summary 7-8'!J15</f>
        <v xml:space="preserve"> </v>
      </c>
      <c r="D7796" s="2" t="e">
        <f t="shared" si="127"/>
        <v>#VALUE!</v>
      </c>
      <c r="E7796" s="4" t="s">
        <v>1963</v>
      </c>
    </row>
    <row r="7797" spans="1:5" x14ac:dyDescent="0.2">
      <c r="A7797">
        <v>7736</v>
      </c>
      <c r="B7797" s="134">
        <f>'Contracts Paid in CY 29'!D141</f>
        <v>714026</v>
      </c>
      <c r="D7797" s="2" t="str">
        <f t="shared" si="127"/>
        <v>Error?</v>
      </c>
      <c r="E7797" s="4" t="s">
        <v>2016</v>
      </c>
    </row>
    <row r="7798" spans="1:5" x14ac:dyDescent="0.2">
      <c r="A7798">
        <v>7737</v>
      </c>
      <c r="B7798" s="134">
        <f>'Contracts Paid in CY 29'!F141</f>
        <v>235595</v>
      </c>
      <c r="D7798" s="2" t="str">
        <f t="shared" si="127"/>
        <v>Error?</v>
      </c>
      <c r="E7798" s="4" t="s">
        <v>2016</v>
      </c>
    </row>
    <row r="7799" spans="1:5" x14ac:dyDescent="0.2">
      <c r="A7799">
        <v>7738</v>
      </c>
      <c r="B7799" s="134">
        <f>'Contracts Paid in CY 29'!G141</f>
        <v>478431</v>
      </c>
      <c r="D7799" s="2" t="str">
        <f t="shared" si="127"/>
        <v>Error?</v>
      </c>
      <c r="E7799" s="4" t="s">
        <v>2016</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pageSetUpPr fitToPage="1"/>
  </sheetPr>
  <dimension ref="A1:AC60"/>
  <sheetViews>
    <sheetView showGridLines="0" showZeros="0" topLeftCell="A18" zoomScale="79" zoomScaleNormal="79" workbookViewId="0">
      <selection activeCell="AC60" sqref="AC60"/>
    </sheetView>
  </sheetViews>
  <sheetFormatPr defaultColWidth="9.140625" defaultRowHeight="12.75" x14ac:dyDescent="0.2"/>
  <cols>
    <col min="1" max="1" width="7.85546875" style="1092" customWidth="1"/>
    <col min="2" max="2" width="2.28515625" style="1088" customWidth="1"/>
    <col min="3" max="3" width="9.140625" style="1092"/>
    <col min="4" max="4" width="13" style="1092" customWidth="1"/>
    <col min="5" max="5" width="16" style="1092" customWidth="1"/>
    <col min="6" max="6" width="4.140625" style="1092" customWidth="1"/>
    <col min="7" max="7" width="3.7109375" style="1092" customWidth="1"/>
    <col min="8" max="8" width="9.7109375" style="1092" customWidth="1"/>
    <col min="9" max="9" width="10.7109375" style="1092" customWidth="1"/>
    <col min="10" max="10" width="5" style="1092" customWidth="1"/>
    <col min="11" max="11" width="6.5703125" style="1092" customWidth="1"/>
    <col min="12" max="12" width="12.85546875" style="1092" customWidth="1"/>
    <col min="13" max="13" width="2.7109375" style="1092" customWidth="1"/>
    <col min="14" max="14" width="13.140625" style="1092" customWidth="1"/>
    <col min="15" max="15" width="7.140625" style="1092" customWidth="1"/>
    <col min="16" max="16" width="7" style="1092" customWidth="1"/>
    <col min="17" max="17" width="9.7109375" style="1092" customWidth="1"/>
    <col min="18" max="19" width="9.85546875" style="1092" customWidth="1"/>
    <col min="20" max="16384" width="9.140625" style="1092"/>
  </cols>
  <sheetData>
    <row r="1" spans="1:29" x14ac:dyDescent="0.2">
      <c r="A1" s="1087"/>
      <c r="C1" s="1087"/>
      <c r="D1" s="1087"/>
      <c r="E1" s="1087"/>
      <c r="F1" s="1089"/>
      <c r="G1" s="1089"/>
      <c r="H1" s="1087"/>
      <c r="I1" s="1087"/>
      <c r="J1" s="1087"/>
      <c r="K1" s="1087"/>
      <c r="L1" s="1090"/>
      <c r="M1" s="1091"/>
    </row>
    <row r="2" spans="1:29" ht="13.5" customHeight="1" x14ac:dyDescent="0.2">
      <c r="A2" s="2451" t="s">
        <v>1252</v>
      </c>
      <c r="B2" s="2451"/>
      <c r="C2" s="2451"/>
      <c r="D2" s="2451"/>
      <c r="E2" s="2451"/>
      <c r="F2" s="2451"/>
      <c r="G2" s="2451"/>
      <c r="H2" s="2451"/>
      <c r="I2" s="2451"/>
      <c r="J2" s="2451"/>
      <c r="K2" s="2451"/>
      <c r="L2" s="2451"/>
    </row>
    <row r="3" spans="1:29" ht="13.5" customHeight="1" x14ac:dyDescent="0.2">
      <c r="A3" s="2479" t="s">
        <v>1251</v>
      </c>
      <c r="B3" s="2479"/>
      <c r="C3" s="2479"/>
      <c r="D3" s="2479"/>
      <c r="E3" s="2479"/>
      <c r="F3" s="2479"/>
      <c r="G3" s="2479"/>
      <c r="H3" s="2479"/>
      <c r="I3" s="2479"/>
      <c r="J3" s="2479"/>
      <c r="K3" s="2479"/>
      <c r="L3" s="2479"/>
    </row>
    <row r="4" spans="1:29" ht="13.5" customHeight="1" x14ac:dyDescent="0.2">
      <c r="A4" s="2451" t="s">
        <v>1798</v>
      </c>
      <c r="B4" s="2472"/>
      <c r="C4" s="2472"/>
      <c r="D4" s="2472"/>
      <c r="E4" s="2472"/>
      <c r="F4" s="2472"/>
      <c r="G4" s="2472"/>
      <c r="H4" s="2472"/>
      <c r="I4" s="2472"/>
      <c r="J4" s="2472"/>
      <c r="K4" s="2472"/>
      <c r="L4" s="2472"/>
    </row>
    <row r="5" spans="1:29" ht="29.85" customHeight="1" x14ac:dyDescent="0.2">
      <c r="A5" s="1093"/>
      <c r="B5" s="1094"/>
      <c r="C5" s="1093"/>
      <c r="D5" s="1093"/>
      <c r="E5" s="1093"/>
      <c r="F5" s="1093"/>
      <c r="G5" s="1093"/>
      <c r="H5" s="1093"/>
      <c r="I5" s="1093"/>
      <c r="J5" s="1093"/>
      <c r="K5" s="1093"/>
      <c r="L5" s="1093"/>
      <c r="V5" s="1095"/>
      <c r="W5" s="1095"/>
      <c r="X5" s="1095"/>
      <c r="Y5" s="1095"/>
      <c r="Z5" s="1095"/>
      <c r="AA5" s="1095"/>
      <c r="AB5" s="1095"/>
      <c r="AC5" s="1095"/>
    </row>
    <row r="6" spans="1:29" ht="13.5" customHeight="1" x14ac:dyDescent="0.2">
      <c r="A6" s="1096" t="s">
        <v>1250</v>
      </c>
      <c r="B6" s="1097"/>
      <c r="C6" s="1098"/>
      <c r="D6" s="1098"/>
      <c r="E6" s="1099" t="s">
        <v>1249</v>
      </c>
      <c r="F6" s="1100"/>
      <c r="G6" s="1101" t="s">
        <v>1248</v>
      </c>
      <c r="H6" s="1098"/>
      <c r="I6" s="1098"/>
      <c r="J6" s="1098"/>
      <c r="K6" s="1098"/>
      <c r="L6" s="1102"/>
      <c r="V6" s="1095"/>
      <c r="W6" s="1095"/>
      <c r="X6" s="1095"/>
      <c r="Y6" s="1095"/>
      <c r="Z6" s="1095"/>
      <c r="AA6" s="1095"/>
      <c r="AB6" s="1095"/>
      <c r="AC6" s="1095"/>
    </row>
    <row r="7" spans="1:29" ht="16.5" customHeight="1" x14ac:dyDescent="0.2">
      <c r="A7" s="2473" t="str">
        <f>COVER!A17</f>
        <v>Champaign Community Unit School District 4</v>
      </c>
      <c r="B7" s="2474"/>
      <c r="C7" s="2474"/>
      <c r="D7" s="2475"/>
      <c r="E7" s="2476">
        <f>COVER!A13</f>
        <v>9010004026</v>
      </c>
      <c r="F7" s="2477"/>
      <c r="G7" s="2480" t="str">
        <f>COVER!T23</f>
        <v>066-004260</v>
      </c>
      <c r="H7" s="2481"/>
      <c r="I7" s="2481"/>
      <c r="J7" s="2481"/>
      <c r="K7" s="2481"/>
      <c r="L7" s="2482"/>
    </row>
    <row r="8" spans="1:29" ht="13.5" customHeight="1" x14ac:dyDescent="0.2">
      <c r="A8" s="1096" t="s">
        <v>1596</v>
      </c>
      <c r="B8" s="1097"/>
      <c r="C8" s="1098"/>
      <c r="D8" s="1098"/>
      <c r="E8" s="1103"/>
      <c r="F8" s="1102"/>
      <c r="G8" s="1104" t="s">
        <v>1247</v>
      </c>
      <c r="H8" s="1105"/>
      <c r="I8" s="1105"/>
      <c r="J8" s="1105"/>
      <c r="K8" s="1105"/>
      <c r="L8" s="1106"/>
    </row>
    <row r="9" spans="1:29" ht="13.5" customHeight="1" x14ac:dyDescent="0.2">
      <c r="A9" s="2483"/>
      <c r="B9" s="2484"/>
      <c r="C9" s="2484"/>
      <c r="D9" s="2484"/>
      <c r="E9" s="2484"/>
      <c r="F9" s="2485"/>
      <c r="G9" s="2457" t="str">
        <f>COVER!T13</f>
        <v>Baker Tilly Virchow Krause, LLP</v>
      </c>
      <c r="H9" s="2486"/>
      <c r="I9" s="2486"/>
      <c r="J9" s="2486"/>
      <c r="K9" s="2486"/>
      <c r="L9" s="2487"/>
    </row>
    <row r="10" spans="1:29" ht="13.5" customHeight="1" x14ac:dyDescent="0.2">
      <c r="A10" s="2463" t="str">
        <f>COVER!A38</f>
        <v>Dr. Susan Zola</v>
      </c>
      <c r="B10" s="2464"/>
      <c r="C10" s="2464"/>
      <c r="D10" s="2464"/>
      <c r="E10" s="2464"/>
      <c r="F10" s="2465"/>
      <c r="G10" s="2457" t="str">
        <f>COVER!T17</f>
        <v>1301 West 22nd Street, Suite 400</v>
      </c>
      <c r="H10" s="2458"/>
      <c r="I10" s="2458"/>
      <c r="J10" s="2458"/>
      <c r="K10" s="2458"/>
      <c r="L10" s="2459"/>
    </row>
    <row r="11" spans="1:29" ht="13.5" customHeight="1" x14ac:dyDescent="0.2">
      <c r="A11" s="1096" t="s">
        <v>1598</v>
      </c>
      <c r="B11" s="1097"/>
      <c r="C11" s="1098"/>
      <c r="D11" s="1103"/>
      <c r="E11" s="1098"/>
      <c r="F11" s="1102"/>
      <c r="G11" s="2457" t="str">
        <f>COVER!T19</f>
        <v>Oak Brook</v>
      </c>
      <c r="H11" s="2458"/>
      <c r="I11" s="2458"/>
      <c r="J11" s="2458"/>
      <c r="K11" s="2458"/>
      <c r="L11" s="2459"/>
    </row>
    <row r="12" spans="1:29" ht="13.5" customHeight="1" x14ac:dyDescent="0.2">
      <c r="A12" s="2466" t="s">
        <v>1597</v>
      </c>
      <c r="B12" s="2467"/>
      <c r="C12" s="2467"/>
      <c r="D12" s="2467"/>
      <c r="E12" s="2467"/>
      <c r="F12" s="2468"/>
      <c r="G12" s="2460"/>
      <c r="H12" s="2461"/>
      <c r="I12" s="2461"/>
      <c r="J12" s="2461"/>
      <c r="K12" s="2461"/>
      <c r="L12" s="2462"/>
    </row>
    <row r="13" spans="1:29" ht="13.5" customHeight="1" x14ac:dyDescent="0.2">
      <c r="A13" s="2457"/>
      <c r="B13" s="2458"/>
      <c r="C13" s="2458"/>
      <c r="D13" s="2458"/>
      <c r="E13" s="2458"/>
      <c r="F13" s="2459"/>
      <c r="G13" s="2452" t="s">
        <v>1599</v>
      </c>
      <c r="H13" s="2453"/>
      <c r="I13" s="2469" t="str">
        <f>COVER!T25</f>
        <v>Joe.Lightcap@bakertilly.com</v>
      </c>
      <c r="J13" s="2470"/>
      <c r="K13" s="2470"/>
      <c r="L13" s="2471"/>
    </row>
    <row r="14" spans="1:29" ht="13.5" customHeight="1" x14ac:dyDescent="0.2">
      <c r="A14" s="2457" t="str">
        <f>COVER!A19</f>
        <v>703 South New Street</v>
      </c>
      <c r="B14" s="2458"/>
      <c r="C14" s="2458"/>
      <c r="D14" s="2458"/>
      <c r="E14" s="2458"/>
      <c r="F14" s="2459"/>
      <c r="G14" s="1107" t="s">
        <v>1246</v>
      </c>
      <c r="H14" s="1105"/>
      <c r="I14" s="1105"/>
      <c r="J14" s="1105"/>
      <c r="K14" s="1105"/>
      <c r="L14" s="1106"/>
    </row>
    <row r="15" spans="1:29" ht="13.5" customHeight="1" x14ac:dyDescent="0.2">
      <c r="A15" s="2457" t="str">
        <f>COVER!A21</f>
        <v>Champaign</v>
      </c>
      <c r="B15" s="2458"/>
      <c r="C15" s="2458"/>
      <c r="D15" s="2458"/>
      <c r="E15" s="2458"/>
      <c r="F15" s="2459"/>
      <c r="G15" s="2454" t="str">
        <f>COVER!T15</f>
        <v>Joe Lightcap</v>
      </c>
      <c r="H15" s="2455"/>
      <c r="I15" s="2455"/>
      <c r="J15" s="2455"/>
      <c r="K15" s="2455"/>
      <c r="L15" s="2456"/>
    </row>
    <row r="16" spans="1:29" ht="12.2" customHeight="1" x14ac:dyDescent="0.2">
      <c r="A16" s="2457">
        <f>COVER!A25</f>
        <v>61820</v>
      </c>
      <c r="B16" s="2458"/>
      <c r="C16" s="2458"/>
      <c r="D16" s="2458"/>
      <c r="E16" s="2458"/>
      <c r="F16" s="2459"/>
      <c r="G16" s="2488"/>
      <c r="H16" s="2489"/>
      <c r="I16" s="2489"/>
      <c r="J16" s="2489"/>
      <c r="K16" s="2489"/>
      <c r="L16" s="2490"/>
    </row>
    <row r="17" spans="1:13" ht="12.2" customHeight="1" x14ac:dyDescent="0.2">
      <c r="A17" s="2491"/>
      <c r="B17" s="2492"/>
      <c r="C17" s="2492"/>
      <c r="D17" s="2492"/>
      <c r="E17" s="2492"/>
      <c r="F17" s="2493"/>
      <c r="G17" s="1107" t="s">
        <v>1245</v>
      </c>
      <c r="H17" s="1105"/>
      <c r="I17" s="1105"/>
      <c r="J17" s="1105"/>
      <c r="K17" s="1109" t="s">
        <v>1244</v>
      </c>
      <c r="L17" s="1102"/>
      <c r="M17" s="1095"/>
    </row>
    <row r="18" spans="1:13" ht="12.2" customHeight="1" x14ac:dyDescent="0.2">
      <c r="A18" s="2463"/>
      <c r="B18" s="2464"/>
      <c r="C18" s="2464"/>
      <c r="D18" s="2464"/>
      <c r="E18" s="2464"/>
      <c r="F18" s="2465"/>
      <c r="G18" s="2473" t="str">
        <f>COVER!T21</f>
        <v>(630) 990-3131</v>
      </c>
      <c r="H18" s="2474"/>
      <c r="I18" s="2474"/>
      <c r="J18" s="2474"/>
      <c r="K18" s="2473" t="str">
        <f>COVER!X21</f>
        <v>(630) 990-0039</v>
      </c>
      <c r="L18" s="2478"/>
    </row>
    <row r="19" spans="1:13" ht="12.2" customHeight="1" x14ac:dyDescent="0.2">
      <c r="A19" s="1110"/>
      <c r="C19" s="1110"/>
      <c r="D19" s="1110"/>
      <c r="E19" s="1110"/>
      <c r="F19" s="1110"/>
      <c r="G19" s="1110"/>
      <c r="H19" s="1110"/>
      <c r="I19" s="1110"/>
      <c r="J19" s="1110"/>
      <c r="K19" s="1110"/>
      <c r="L19" s="1110"/>
    </row>
    <row r="20" spans="1:13" ht="12.2" customHeight="1" x14ac:dyDescent="0.2">
      <c r="A20" s="1110"/>
      <c r="C20" s="1110"/>
      <c r="D20" s="1110"/>
      <c r="E20" s="1110"/>
      <c r="F20" s="1110"/>
      <c r="G20" s="1110"/>
      <c r="H20" s="1110"/>
      <c r="I20" s="1110"/>
      <c r="J20" s="1110" t="s">
        <v>1230</v>
      </c>
      <c r="K20" s="1088" t="s">
        <v>1230</v>
      </c>
    </row>
    <row r="21" spans="1:13" ht="12.2" customHeight="1" x14ac:dyDescent="0.2">
      <c r="A21" s="1111" t="s">
        <v>1799</v>
      </c>
    </row>
    <row r="22" spans="1:13" ht="12.2" customHeight="1" x14ac:dyDescent="0.2">
      <c r="A22" s="1112"/>
    </row>
    <row r="23" spans="1:13" ht="12.2" customHeight="1" x14ac:dyDescent="0.2">
      <c r="A23" s="1112"/>
      <c r="B23" s="1113" t="s">
        <v>2086</v>
      </c>
      <c r="C23" s="1114" t="s">
        <v>1243</v>
      </c>
    </row>
    <row r="24" spans="1:13" ht="10.15" customHeight="1" x14ac:dyDescent="0.2">
      <c r="A24" s="1112"/>
      <c r="C24" s="1114" t="s">
        <v>1242</v>
      </c>
    </row>
    <row r="25" spans="1:13" ht="9" customHeight="1" x14ac:dyDescent="0.2">
      <c r="B25" s="1115" t="s">
        <v>1230</v>
      </c>
      <c r="C25" s="1116"/>
    </row>
    <row r="26" spans="1:13" s="1110" customFormat="1" ht="12.2" customHeight="1" x14ac:dyDescent="0.2">
      <c r="B26" s="1113" t="s">
        <v>2086</v>
      </c>
      <c r="C26" s="1114" t="s">
        <v>1800</v>
      </c>
    </row>
    <row r="27" spans="1:13" s="1110" customFormat="1" ht="9" customHeight="1" x14ac:dyDescent="0.2">
      <c r="B27" s="1115"/>
      <c r="C27" s="1114"/>
    </row>
    <row r="28" spans="1:13" s="1110" customFormat="1" ht="12.2" customHeight="1" x14ac:dyDescent="0.2">
      <c r="A28" s="1117"/>
      <c r="B28" s="1113" t="s">
        <v>2086</v>
      </c>
      <c r="C28" s="1114" t="s">
        <v>1801</v>
      </c>
    </row>
    <row r="29" spans="1:13" s="1110" customFormat="1" ht="9" customHeight="1" x14ac:dyDescent="0.2">
      <c r="A29" s="1117"/>
      <c r="B29" s="1115"/>
      <c r="C29" s="1114"/>
    </row>
    <row r="30" spans="1:13" s="1110" customFormat="1" ht="12.2" customHeight="1" x14ac:dyDescent="0.2">
      <c r="B30" s="1113" t="s">
        <v>2086</v>
      </c>
      <c r="C30" s="1114" t="s">
        <v>1642</v>
      </c>
      <c r="D30" s="1108"/>
      <c r="E30" s="1108"/>
    </row>
    <row r="31" spans="1:13" s="1110" customFormat="1" ht="9" customHeight="1" x14ac:dyDescent="0.2">
      <c r="B31" s="1115"/>
      <c r="C31" s="1114"/>
      <c r="D31" s="1108"/>
      <c r="E31" s="1108"/>
    </row>
    <row r="32" spans="1:13" s="1110" customFormat="1" ht="12.2" customHeight="1" x14ac:dyDescent="0.2">
      <c r="B32" s="1113" t="s">
        <v>2086</v>
      </c>
      <c r="C32" s="1114" t="s">
        <v>1643</v>
      </c>
      <c r="D32" s="1108"/>
      <c r="E32" s="1108"/>
    </row>
    <row r="33" spans="1:8" s="1110" customFormat="1" ht="10.9" customHeight="1" x14ac:dyDescent="0.2">
      <c r="B33" s="1115"/>
      <c r="C33" s="1118" t="s">
        <v>1802</v>
      </c>
      <c r="D33" s="1108"/>
      <c r="E33" s="1108"/>
    </row>
    <row r="34" spans="1:8" ht="9" customHeight="1" x14ac:dyDescent="0.2">
      <c r="B34" s="1115"/>
      <c r="C34" s="1118"/>
    </row>
    <row r="35" spans="1:8" s="1110" customFormat="1" ht="13.5" customHeight="1" x14ac:dyDescent="0.2">
      <c r="B35" s="1113" t="s">
        <v>2086</v>
      </c>
      <c r="C35" s="1114" t="s">
        <v>1644</v>
      </c>
    </row>
    <row r="36" spans="1:8" s="1110" customFormat="1" ht="10.9" customHeight="1" x14ac:dyDescent="0.2">
      <c r="B36" s="1115"/>
      <c r="C36" s="1118" t="s">
        <v>1645</v>
      </c>
    </row>
    <row r="37" spans="1:8" ht="9" customHeight="1" x14ac:dyDescent="0.2">
      <c r="B37" s="1115"/>
      <c r="C37" s="1118"/>
    </row>
    <row r="38" spans="1:8" s="1110" customFormat="1" ht="12.2" customHeight="1" x14ac:dyDescent="0.2">
      <c r="B38" s="1113" t="s">
        <v>2086</v>
      </c>
      <c r="C38" s="1114" t="s">
        <v>1646</v>
      </c>
    </row>
    <row r="39" spans="1:8" ht="9" customHeight="1" x14ac:dyDescent="0.2">
      <c r="B39" s="1115"/>
      <c r="C39" s="1118"/>
    </row>
    <row r="40" spans="1:8" s="1110" customFormat="1" ht="13.5" customHeight="1" x14ac:dyDescent="0.2">
      <c r="B40" s="1113" t="s">
        <v>2086</v>
      </c>
      <c r="C40" s="1114" t="s">
        <v>1647</v>
      </c>
    </row>
    <row r="41" spans="1:8" ht="9" customHeight="1" x14ac:dyDescent="0.2">
      <c r="A41" s="1119"/>
      <c r="B41" s="1115"/>
      <c r="C41" s="1118"/>
    </row>
    <row r="42" spans="1:8" s="1110" customFormat="1" ht="13.5" customHeight="1" x14ac:dyDescent="0.2">
      <c r="B42" s="1113" t="s">
        <v>2086</v>
      </c>
      <c r="C42" s="1114" t="s">
        <v>1943</v>
      </c>
      <c r="D42" s="1108"/>
      <c r="E42" s="1108"/>
      <c r="F42" s="1108"/>
      <c r="G42" s="1108"/>
      <c r="H42" s="1108"/>
    </row>
    <row r="43" spans="1:8" s="1110" customFormat="1" ht="12.95" customHeight="1" x14ac:dyDescent="0.2">
      <c r="B43" s="1115"/>
      <c r="C43" s="1105"/>
      <c r="D43" s="1108"/>
      <c r="E43" s="1108"/>
      <c r="F43" s="1108"/>
      <c r="G43" s="1108"/>
      <c r="H43" s="1108"/>
    </row>
    <row r="44" spans="1:8" s="1110" customFormat="1" ht="13.5" customHeight="1" x14ac:dyDescent="0.2">
      <c r="A44" s="1111" t="s">
        <v>1241</v>
      </c>
      <c r="B44" s="1115"/>
      <c r="D44" s="1108"/>
      <c r="E44" s="1108"/>
      <c r="F44" s="1108"/>
      <c r="G44" s="1108"/>
      <c r="H44" s="1108"/>
    </row>
    <row r="45" spans="1:8" ht="12" customHeight="1" x14ac:dyDescent="0.2">
      <c r="B45" s="1115"/>
      <c r="D45" s="1120"/>
      <c r="E45" s="1120"/>
      <c r="F45" s="1120"/>
      <c r="G45" s="1120"/>
      <c r="H45" s="1120"/>
    </row>
    <row r="46" spans="1:8" s="1110" customFormat="1" ht="12.2" customHeight="1" x14ac:dyDescent="0.2">
      <c r="B46" s="1113"/>
      <c r="C46" s="1121" t="s">
        <v>1648</v>
      </c>
      <c r="D46" s="1108"/>
      <c r="E46" s="1108"/>
      <c r="F46" s="1108"/>
      <c r="G46" s="1108"/>
      <c r="H46" s="1108"/>
    </row>
    <row r="47" spans="1:8" ht="9" customHeight="1" x14ac:dyDescent="0.2"/>
    <row r="48" spans="1:8" ht="12.2" customHeight="1" x14ac:dyDescent="0.2">
      <c r="B48" s="1122"/>
      <c r="C48" s="1123" t="s">
        <v>1649</v>
      </c>
    </row>
    <row r="49" spans="1:12" ht="9" customHeight="1" x14ac:dyDescent="0.2"/>
    <row r="50" spans="1:12" ht="6" customHeight="1" x14ac:dyDescent="0.2">
      <c r="C50" s="1123"/>
    </row>
    <row r="51" spans="1:12" ht="12.2" customHeight="1" x14ac:dyDescent="0.2">
      <c r="A51" s="1125" t="s">
        <v>1803</v>
      </c>
    </row>
    <row r="52" spans="1:12" ht="12.2" customHeight="1" x14ac:dyDescent="0.2">
      <c r="A52" s="1120"/>
    </row>
    <row r="53" spans="1:12" ht="12.2" customHeight="1" x14ac:dyDescent="0.2"/>
    <row r="54" spans="1:12" ht="12.2" customHeight="1" x14ac:dyDescent="0.2"/>
    <row r="55" spans="1:12" ht="12.2" customHeight="1" x14ac:dyDescent="0.2"/>
    <row r="56" spans="1:12" ht="12.2" customHeight="1" x14ac:dyDescent="0.2">
      <c r="A56" s="1124"/>
    </row>
    <row r="59" spans="1:12" ht="12.75" customHeight="1" x14ac:dyDescent="0.2"/>
    <row r="60" spans="1:12" ht="36" customHeight="1" x14ac:dyDescent="0.2">
      <c r="L60" s="1090"/>
    </row>
  </sheetData>
  <sheetProtection algorithmName="SHA-512" hashValue="hGMGa2Dy/eKCBs+/0PMOyq0UsvijfVSz9ZVYztqgPSQR3pOkMgqRFzQe5nvCr8cfyftYWgTJBmoRH3IpcI4Juw==" saltValue="zgNa1JgG/s2XZXQWZFOH2A==" spinCount="100000"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pageSetUpPr fitToPage="1"/>
  </sheetPr>
  <dimension ref="A1:K127"/>
  <sheetViews>
    <sheetView showGridLines="0" zoomScale="86" zoomScaleNormal="86" workbookViewId="0">
      <selection activeCell="D60" sqref="D60"/>
    </sheetView>
  </sheetViews>
  <sheetFormatPr defaultColWidth="10.7109375" defaultRowHeight="11.25" x14ac:dyDescent="0.2"/>
  <cols>
    <col min="1" max="1" width="1.7109375" style="1129" customWidth="1"/>
    <col min="2" max="2" width="2.7109375" style="1133" customWidth="1"/>
    <col min="3" max="3" width="3.28515625" style="1143" customWidth="1"/>
    <col min="4" max="4" width="97.7109375" style="1133" customWidth="1"/>
    <col min="5" max="5" width="4.140625" style="1133" customWidth="1"/>
    <col min="6" max="16384" width="10.7109375" style="1133"/>
  </cols>
  <sheetData>
    <row r="1" spans="1:11" s="1126" customFormat="1" ht="12.75" x14ac:dyDescent="0.2">
      <c r="A1" s="2494" t="str">
        <f>'Single Audit Cover'!A7</f>
        <v>Champaign Community Unit School District 4</v>
      </c>
      <c r="B1" s="2472"/>
      <c r="C1" s="2472"/>
      <c r="D1" s="2472"/>
    </row>
    <row r="2" spans="1:11" s="1126" customFormat="1" ht="12.75" x14ac:dyDescent="0.2">
      <c r="A2" s="2495">
        <f>'Single Audit Cover'!E7</f>
        <v>9010004026</v>
      </c>
      <c r="B2" s="2496"/>
      <c r="C2" s="2496"/>
      <c r="D2" s="2496"/>
    </row>
    <row r="3" spans="1:11" s="1126" customFormat="1" ht="12.75" x14ac:dyDescent="0.2">
      <c r="A3" s="2494" t="s">
        <v>1592</v>
      </c>
      <c r="B3" s="2472"/>
      <c r="C3" s="2472"/>
      <c r="D3" s="2472"/>
    </row>
    <row r="4" spans="1:11" s="1126" customFormat="1" ht="4.5" customHeight="1" x14ac:dyDescent="0.2">
      <c r="A4" s="1127"/>
      <c r="B4" s="1128"/>
      <c r="C4" s="1128"/>
      <c r="D4" s="1128"/>
    </row>
    <row r="5" spans="1:11" x14ac:dyDescent="0.2">
      <c r="B5" s="1130" t="s">
        <v>1593</v>
      </c>
      <c r="C5" s="1131"/>
      <c r="D5" s="1132"/>
    </row>
    <row r="6" spans="1:11" x14ac:dyDescent="0.2">
      <c r="B6" s="1130" t="s">
        <v>1286</v>
      </c>
      <c r="C6" s="1131"/>
      <c r="D6" s="1132"/>
    </row>
    <row r="7" spans="1:11" x14ac:dyDescent="0.2">
      <c r="B7" s="1130" t="s">
        <v>1594</v>
      </c>
      <c r="C7" s="1131"/>
      <c r="D7" s="1132"/>
    </row>
    <row r="8" spans="1:11" ht="4.5" customHeight="1" x14ac:dyDescent="0.2">
      <c r="B8" s="1130"/>
      <c r="C8" s="1131"/>
      <c r="D8" s="1132"/>
    </row>
    <row r="9" spans="1:11" x14ac:dyDescent="0.2">
      <c r="B9" s="1134" t="s">
        <v>1285</v>
      </c>
      <c r="C9" s="1135"/>
      <c r="D9" s="1132"/>
    </row>
    <row r="10" spans="1:11" ht="4.5" customHeight="1" x14ac:dyDescent="0.2">
      <c r="B10" s="1134"/>
      <c r="C10" s="1135"/>
      <c r="D10" s="1132"/>
    </row>
    <row r="11" spans="1:11" x14ac:dyDescent="0.2">
      <c r="B11" s="1136" t="s">
        <v>2086</v>
      </c>
      <c r="C11" s="1137">
        <v>1</v>
      </c>
      <c r="D11" s="1138" t="s">
        <v>1804</v>
      </c>
      <c r="E11" s="1139"/>
      <c r="F11" s="1139"/>
      <c r="G11" s="1139"/>
      <c r="H11" s="1139"/>
      <c r="I11" s="1139"/>
      <c r="J11" s="1139"/>
      <c r="K11" s="1139"/>
    </row>
    <row r="12" spans="1:11" ht="3" customHeight="1" x14ac:dyDescent="0.2">
      <c r="B12" s="1140"/>
      <c r="C12" s="1137"/>
      <c r="D12" s="1138"/>
      <c r="E12" s="1139"/>
      <c r="F12" s="1139"/>
      <c r="G12" s="1139"/>
      <c r="H12" s="1139"/>
      <c r="I12" s="1139"/>
      <c r="J12" s="1139"/>
      <c r="K12" s="1139"/>
    </row>
    <row r="13" spans="1:11" x14ac:dyDescent="0.2">
      <c r="B13" s="1136" t="s">
        <v>2086</v>
      </c>
      <c r="C13" s="1137">
        <f>C11+1</f>
        <v>2</v>
      </c>
      <c r="D13" s="1141" t="s">
        <v>1805</v>
      </c>
      <c r="E13" s="1139"/>
      <c r="F13" s="1139"/>
      <c r="G13" s="1139"/>
      <c r="H13" s="1139"/>
      <c r="I13" s="1139"/>
      <c r="J13" s="1139"/>
      <c r="K13" s="1139"/>
    </row>
    <row r="14" spans="1:11" ht="3" customHeight="1" x14ac:dyDescent="0.2">
      <c r="B14" s="1140"/>
      <c r="C14" s="1137"/>
      <c r="D14" s="1141"/>
      <c r="E14" s="1139"/>
      <c r="F14" s="1139"/>
      <c r="G14" s="1139"/>
      <c r="H14" s="1139"/>
      <c r="I14" s="1139"/>
      <c r="J14" s="1139"/>
      <c r="K14" s="1139"/>
    </row>
    <row r="15" spans="1:11" x14ac:dyDescent="0.2">
      <c r="B15" s="1136" t="s">
        <v>2086</v>
      </c>
      <c r="C15" s="1137">
        <f>C13+1</f>
        <v>3</v>
      </c>
      <c r="D15" s="1138" t="s">
        <v>1806</v>
      </c>
      <c r="E15" s="1139"/>
      <c r="F15" s="1139"/>
      <c r="G15" s="1139"/>
      <c r="H15" s="1139"/>
      <c r="I15" s="1139"/>
      <c r="J15" s="1139"/>
      <c r="K15" s="1139"/>
    </row>
    <row r="16" spans="1:11" ht="10.5" customHeight="1" x14ac:dyDescent="0.2">
      <c r="B16" s="1142"/>
      <c r="D16" s="1141" t="s">
        <v>1284</v>
      </c>
      <c r="E16" s="1139"/>
      <c r="F16" s="1139"/>
      <c r="G16" s="1139"/>
      <c r="H16" s="1139"/>
      <c r="I16" s="1139"/>
      <c r="J16" s="1139"/>
      <c r="K16" s="1139"/>
    </row>
    <row r="17" spans="1:11" ht="3" customHeight="1" x14ac:dyDescent="0.2">
      <c r="B17" s="1142"/>
      <c r="D17" s="1141"/>
      <c r="E17" s="1139"/>
      <c r="F17" s="1139"/>
      <c r="G17" s="1139"/>
      <c r="H17" s="1139"/>
      <c r="I17" s="1139"/>
      <c r="J17" s="1139"/>
      <c r="K17" s="1139"/>
    </row>
    <row r="18" spans="1:11" x14ac:dyDescent="0.2">
      <c r="B18" s="1136" t="s">
        <v>2086</v>
      </c>
      <c r="C18" s="1137">
        <f>C15+1</f>
        <v>4</v>
      </c>
      <c r="D18" s="1144" t="s">
        <v>1807</v>
      </c>
      <c r="E18" s="1139"/>
      <c r="F18" s="1139"/>
      <c r="G18" s="1139"/>
      <c r="H18" s="1139"/>
      <c r="I18" s="1139"/>
      <c r="J18" s="1139"/>
      <c r="K18" s="1139"/>
    </row>
    <row r="19" spans="1:11" ht="9.75" customHeight="1" x14ac:dyDescent="0.2">
      <c r="A19" s="1133"/>
      <c r="B19" s="1142"/>
      <c r="D19" s="1141" t="s">
        <v>1283</v>
      </c>
      <c r="E19" s="1139"/>
      <c r="F19" s="1139"/>
      <c r="G19" s="1139"/>
      <c r="H19" s="1139"/>
      <c r="I19" s="1139"/>
      <c r="J19" s="1139"/>
      <c r="K19" s="1139"/>
    </row>
    <row r="20" spans="1:11" ht="3" customHeight="1" x14ac:dyDescent="0.2">
      <c r="A20" s="1133"/>
      <c r="B20" s="1142"/>
      <c r="D20" s="1141"/>
      <c r="E20" s="1139"/>
      <c r="F20" s="1139"/>
      <c r="G20" s="1139"/>
      <c r="H20" s="1139"/>
      <c r="I20" s="1139"/>
      <c r="J20" s="1139"/>
      <c r="K20" s="1139"/>
    </row>
    <row r="21" spans="1:11" x14ac:dyDescent="0.2">
      <c r="A21" s="1133"/>
      <c r="B21" s="1136" t="s">
        <v>2086</v>
      </c>
      <c r="C21" s="1137">
        <f>C18+1</f>
        <v>5</v>
      </c>
      <c r="D21" s="1141" t="s">
        <v>1282</v>
      </c>
      <c r="E21" s="1139"/>
      <c r="F21" s="1139"/>
      <c r="G21" s="1139"/>
      <c r="H21" s="1139"/>
      <c r="I21" s="1139"/>
      <c r="J21" s="1139"/>
      <c r="K21" s="1139"/>
    </row>
    <row r="22" spans="1:11" ht="10.5" customHeight="1" x14ac:dyDescent="0.2">
      <c r="A22" s="1133"/>
      <c r="B22" s="1142"/>
      <c r="D22" s="1141" t="s">
        <v>1281</v>
      </c>
      <c r="E22" s="1139"/>
      <c r="F22" s="1139"/>
      <c r="G22" s="1139"/>
      <c r="H22" s="1139"/>
      <c r="I22" s="1139"/>
      <c r="J22" s="1139"/>
      <c r="K22" s="1139"/>
    </row>
    <row r="23" spans="1:11" ht="3" customHeight="1" x14ac:dyDescent="0.2">
      <c r="A23" s="1133"/>
      <c r="B23" s="1142"/>
      <c r="D23" s="1141"/>
      <c r="E23" s="1139"/>
      <c r="F23" s="1139"/>
      <c r="G23" s="1139"/>
      <c r="H23" s="1139"/>
      <c r="I23" s="1139"/>
      <c r="J23" s="1139"/>
      <c r="K23" s="1139"/>
    </row>
    <row r="24" spans="1:11" x14ac:dyDescent="0.2">
      <c r="A24" s="1133"/>
      <c r="B24" s="1136" t="s">
        <v>2086</v>
      </c>
      <c r="C24" s="1137">
        <f>C21+1</f>
        <v>6</v>
      </c>
      <c r="D24" s="1145" t="s">
        <v>1828</v>
      </c>
      <c r="E24" s="1139"/>
      <c r="F24" s="1139"/>
      <c r="G24" s="1139"/>
      <c r="H24" s="1139"/>
      <c r="I24" s="1139"/>
      <c r="J24" s="1139"/>
      <c r="K24" s="1139"/>
    </row>
    <row r="25" spans="1:11" x14ac:dyDescent="0.2">
      <c r="A25" s="1133"/>
      <c r="B25" s="1142"/>
      <c r="D25" s="1141" t="s">
        <v>1808</v>
      </c>
      <c r="E25" s="1139"/>
      <c r="F25" s="1139"/>
      <c r="G25" s="1139"/>
      <c r="H25" s="1139"/>
      <c r="I25" s="1139"/>
      <c r="J25" s="1139"/>
      <c r="K25" s="1139"/>
    </row>
    <row r="26" spans="1:11" x14ac:dyDescent="0.2">
      <c r="A26" s="1133"/>
      <c r="B26" s="1142"/>
      <c r="D26" s="1146" t="s">
        <v>1809</v>
      </c>
      <c r="E26" s="1139"/>
      <c r="F26" s="1139"/>
      <c r="G26" s="1139"/>
      <c r="H26" s="1139"/>
      <c r="I26" s="1139"/>
      <c r="J26" s="1139"/>
      <c r="K26" s="1139"/>
    </row>
    <row r="27" spans="1:11" ht="3" customHeight="1" x14ac:dyDescent="0.2">
      <c r="A27" s="1133"/>
      <c r="B27" s="1142"/>
      <c r="D27" s="1146"/>
      <c r="E27" s="1139"/>
      <c r="F27" s="1139"/>
      <c r="G27" s="1139"/>
      <c r="H27" s="1139"/>
      <c r="I27" s="1139"/>
      <c r="J27" s="1139"/>
      <c r="K27" s="1139"/>
    </row>
    <row r="28" spans="1:11" x14ac:dyDescent="0.2">
      <c r="A28" s="1133"/>
      <c r="B28" s="1136" t="s">
        <v>2086</v>
      </c>
      <c r="C28" s="1143">
        <f>C24+1</f>
        <v>7</v>
      </c>
      <c r="D28" s="1146" t="s">
        <v>1650</v>
      </c>
      <c r="E28" s="1139"/>
      <c r="F28" s="1139"/>
      <c r="G28" s="1139"/>
      <c r="H28" s="1139"/>
      <c r="I28" s="1139"/>
      <c r="J28" s="1139"/>
      <c r="K28" s="1139"/>
    </row>
    <row r="29" spans="1:11" ht="10.5" customHeight="1" x14ac:dyDescent="0.2">
      <c r="A29" s="1133"/>
      <c r="D29" s="1147" t="s">
        <v>1651</v>
      </c>
    </row>
    <row r="30" spans="1:11" ht="6" customHeight="1" x14ac:dyDescent="0.2">
      <c r="A30" s="1133"/>
      <c r="D30" s="1132"/>
    </row>
    <row r="31" spans="1:11" x14ac:dyDescent="0.2">
      <c r="A31" s="1133"/>
      <c r="B31" s="1134" t="s">
        <v>1280</v>
      </c>
      <c r="C31" s="1135"/>
      <c r="D31" s="1132"/>
    </row>
    <row r="32" spans="1:11" ht="4.5" customHeight="1" x14ac:dyDescent="0.2">
      <c r="A32" s="1133"/>
      <c r="B32" s="1134"/>
      <c r="C32" s="1135"/>
      <c r="D32" s="1132"/>
    </row>
    <row r="33" spans="1:5" x14ac:dyDescent="0.2">
      <c r="A33" s="1133"/>
      <c r="B33" s="1136" t="s">
        <v>2086</v>
      </c>
      <c r="C33" s="1137">
        <v>8</v>
      </c>
      <c r="D33" s="1148" t="s">
        <v>1279</v>
      </c>
    </row>
    <row r="34" spans="1:5" ht="10.5" customHeight="1" x14ac:dyDescent="0.2">
      <c r="A34" s="1133"/>
      <c r="B34" s="1149"/>
      <c r="C34" s="1137"/>
      <c r="D34" s="1148" t="s">
        <v>1652</v>
      </c>
    </row>
    <row r="35" spans="1:5" ht="3" customHeight="1" x14ac:dyDescent="0.2">
      <c r="A35" s="1133"/>
      <c r="B35" s="1142"/>
      <c r="D35" s="1132"/>
    </row>
    <row r="36" spans="1:5" x14ac:dyDescent="0.2">
      <c r="A36" s="1133"/>
      <c r="B36" s="1136" t="s">
        <v>2086</v>
      </c>
      <c r="C36" s="1137">
        <f>C33+1</f>
        <v>9</v>
      </c>
      <c r="D36" s="1148" t="s">
        <v>1278</v>
      </c>
    </row>
    <row r="37" spans="1:5" ht="10.5" customHeight="1" x14ac:dyDescent="0.2">
      <c r="A37" s="1133"/>
      <c r="B37" s="1142"/>
      <c r="D37" s="1148" t="s">
        <v>1652</v>
      </c>
    </row>
    <row r="38" spans="1:5" ht="3" customHeight="1" x14ac:dyDescent="0.2">
      <c r="A38" s="1133"/>
      <c r="B38" s="1150"/>
      <c r="C38" s="1151"/>
      <c r="D38" s="1132"/>
    </row>
    <row r="39" spans="1:5" x14ac:dyDescent="0.2">
      <c r="A39" s="1133"/>
      <c r="B39" s="1152" t="s">
        <v>2086</v>
      </c>
      <c r="C39" s="1143">
        <f>C36+1</f>
        <v>10</v>
      </c>
      <c r="D39" s="1132" t="s">
        <v>1277</v>
      </c>
    </row>
    <row r="40" spans="1:5" ht="10.5" customHeight="1" x14ac:dyDescent="0.2">
      <c r="A40" s="1133"/>
      <c r="B40" s="1153"/>
      <c r="C40" s="1151"/>
      <c r="D40" s="1132" t="s">
        <v>1653</v>
      </c>
    </row>
    <row r="41" spans="1:5" ht="3" customHeight="1" x14ac:dyDescent="0.2">
      <c r="A41" s="1133"/>
      <c r="B41" s="1150"/>
      <c r="C41" s="1151"/>
      <c r="D41" s="1132"/>
    </row>
    <row r="42" spans="1:5" ht="10.5" customHeight="1" x14ac:dyDescent="0.2">
      <c r="A42" s="1133"/>
      <c r="B42" s="1152" t="s">
        <v>2086</v>
      </c>
      <c r="C42" s="1143">
        <v>11</v>
      </c>
      <c r="D42" s="1154" t="s">
        <v>1654</v>
      </c>
      <c r="E42" s="308"/>
    </row>
    <row r="43" spans="1:5" ht="3" customHeight="1" x14ac:dyDescent="0.2">
      <c r="A43" s="1133"/>
      <c r="B43" s="1150"/>
      <c r="C43" s="1151"/>
      <c r="D43" s="1132"/>
    </row>
    <row r="44" spans="1:5" x14ac:dyDescent="0.2">
      <c r="A44" s="1133"/>
      <c r="B44" s="1136" t="s">
        <v>2086</v>
      </c>
      <c r="C44" s="1137">
        <f>C42+1</f>
        <v>12</v>
      </c>
      <c r="D44" s="1148" t="s">
        <v>1276</v>
      </c>
    </row>
    <row r="45" spans="1:5" ht="10.5" customHeight="1" x14ac:dyDescent="0.2">
      <c r="A45" s="1133"/>
      <c r="B45" s="1149"/>
      <c r="C45" s="1137"/>
      <c r="D45" s="1148" t="s">
        <v>1275</v>
      </c>
    </row>
    <row r="46" spans="1:5" ht="10.5" customHeight="1" x14ac:dyDescent="0.2">
      <c r="A46" s="1133"/>
      <c r="B46" s="1150"/>
      <c r="C46" s="1151"/>
      <c r="D46" s="1148" t="s">
        <v>1274</v>
      </c>
    </row>
    <row r="47" spans="1:5" ht="3" customHeight="1" x14ac:dyDescent="0.2">
      <c r="A47" s="1133"/>
      <c r="B47" s="1150"/>
      <c r="C47" s="1151"/>
      <c r="D47" s="1148"/>
    </row>
    <row r="48" spans="1:5" x14ac:dyDescent="0.2">
      <c r="A48" s="1133"/>
      <c r="B48" s="1136" t="s">
        <v>2086</v>
      </c>
      <c r="C48" s="1137">
        <f>C44+1</f>
        <v>13</v>
      </c>
      <c r="D48" s="1148" t="s">
        <v>1655</v>
      </c>
    </row>
    <row r="49" spans="1:4" ht="3" customHeight="1" x14ac:dyDescent="0.2">
      <c r="A49" s="1133"/>
      <c r="B49" s="1140"/>
      <c r="C49" s="1137"/>
      <c r="D49" s="1148"/>
    </row>
    <row r="50" spans="1:4" x14ac:dyDescent="0.2">
      <c r="A50" s="1133"/>
      <c r="B50" s="1136" t="s">
        <v>2086</v>
      </c>
      <c r="C50" s="1137">
        <f>C48+1</f>
        <v>14</v>
      </c>
      <c r="D50" s="1148" t="s">
        <v>1273</v>
      </c>
    </row>
    <row r="51" spans="1:4" ht="3" customHeight="1" x14ac:dyDescent="0.2">
      <c r="A51" s="1133"/>
      <c r="B51" s="1140"/>
      <c r="C51" s="1137"/>
      <c r="D51" s="1148"/>
    </row>
    <row r="52" spans="1:4" x14ac:dyDescent="0.2">
      <c r="A52" s="1133"/>
      <c r="B52" s="1136" t="s">
        <v>2086</v>
      </c>
      <c r="C52" s="1137">
        <f>C50+1</f>
        <v>15</v>
      </c>
      <c r="D52" s="1148" t="s">
        <v>1272</v>
      </c>
    </row>
    <row r="53" spans="1:4" ht="3" customHeight="1" x14ac:dyDescent="0.2">
      <c r="A53" s="1133"/>
      <c r="B53" s="1140"/>
      <c r="C53" s="1137"/>
      <c r="D53" s="1148"/>
    </row>
    <row r="54" spans="1:4" x14ac:dyDescent="0.2">
      <c r="A54" s="1133"/>
      <c r="B54" s="1136" t="s">
        <v>2086</v>
      </c>
      <c r="C54" s="1137">
        <f>C52+1</f>
        <v>16</v>
      </c>
      <c r="D54" s="1148" t="s">
        <v>1271</v>
      </c>
    </row>
    <row r="55" spans="1:4" ht="3" customHeight="1" x14ac:dyDescent="0.2">
      <c r="A55" s="1133"/>
      <c r="B55" s="1140"/>
      <c r="C55" s="1137"/>
      <c r="D55" s="1148"/>
    </row>
    <row r="56" spans="1:4" x14ac:dyDescent="0.2">
      <c r="A56" s="1133"/>
      <c r="B56" s="1136" t="s">
        <v>2086</v>
      </c>
      <c r="C56" s="1137">
        <f>C54+1</f>
        <v>17</v>
      </c>
      <c r="D56" s="1132" t="s">
        <v>1810</v>
      </c>
    </row>
    <row r="57" spans="1:4" ht="10.5" customHeight="1" x14ac:dyDescent="0.2">
      <c r="A57" s="1133"/>
      <c r="D57" s="1148" t="s">
        <v>1811</v>
      </c>
    </row>
    <row r="58" spans="1:4" x14ac:dyDescent="0.2">
      <c r="A58" s="1133"/>
      <c r="C58" s="1155" t="s">
        <v>2086</v>
      </c>
      <c r="D58" s="1148" t="s">
        <v>1812</v>
      </c>
    </row>
    <row r="59" spans="1:4" ht="10.5" customHeight="1" x14ac:dyDescent="0.2">
      <c r="A59" s="1133"/>
      <c r="D59" s="1132" t="s">
        <v>1270</v>
      </c>
    </row>
    <row r="60" spans="1:4" ht="10.5" customHeight="1" x14ac:dyDescent="0.2">
      <c r="A60" s="1133"/>
      <c r="D60" s="1156" t="s">
        <v>1680</v>
      </c>
    </row>
    <row r="61" spans="1:4" ht="10.5" customHeight="1" x14ac:dyDescent="0.2">
      <c r="A61" s="1133"/>
      <c r="C61" s="1155" t="s">
        <v>2108</v>
      </c>
      <c r="D61" s="1148" t="s">
        <v>1813</v>
      </c>
    </row>
    <row r="62" spans="1:4" ht="10.5" customHeight="1" x14ac:dyDescent="0.2">
      <c r="A62" s="1133"/>
      <c r="D62" s="1157" t="s">
        <v>1269</v>
      </c>
    </row>
    <row r="63" spans="1:4" ht="10.5" customHeight="1" x14ac:dyDescent="0.2">
      <c r="A63" s="1133"/>
      <c r="D63" s="1132" t="s">
        <v>1656</v>
      </c>
    </row>
    <row r="64" spans="1:4" ht="10.5" customHeight="1" x14ac:dyDescent="0.2">
      <c r="A64" s="1133"/>
      <c r="D64" s="1156" t="s">
        <v>1679</v>
      </c>
    </row>
    <row r="65" spans="1:4" x14ac:dyDescent="0.2">
      <c r="A65" s="1133"/>
      <c r="C65" s="1155" t="s">
        <v>2086</v>
      </c>
      <c r="D65" s="1148" t="s">
        <v>1814</v>
      </c>
    </row>
    <row r="66" spans="1:4" ht="10.5" customHeight="1" x14ac:dyDescent="0.2">
      <c r="A66" s="1133"/>
      <c r="D66" s="1158" t="s">
        <v>1268</v>
      </c>
    </row>
    <row r="67" spans="1:4" ht="10.5" customHeight="1" x14ac:dyDescent="0.2">
      <c r="A67" s="1133"/>
      <c r="D67" s="1132" t="s">
        <v>1657</v>
      </c>
    </row>
    <row r="68" spans="1:4" ht="10.5" customHeight="1" x14ac:dyDescent="0.2">
      <c r="A68" s="1133"/>
      <c r="D68" s="1156" t="s">
        <v>1679</v>
      </c>
    </row>
    <row r="69" spans="1:4" ht="10.5" customHeight="1" x14ac:dyDescent="0.2">
      <c r="A69" s="1133"/>
      <c r="C69" s="1155" t="s">
        <v>2108</v>
      </c>
      <c r="D69" s="1148" t="s">
        <v>1815</v>
      </c>
    </row>
    <row r="70" spans="1:4" x14ac:dyDescent="0.2">
      <c r="A70" s="1133"/>
      <c r="D70" s="1157" t="s">
        <v>1267</v>
      </c>
    </row>
    <row r="71" spans="1:4" ht="3" customHeight="1" x14ac:dyDescent="0.2">
      <c r="A71" s="1133"/>
      <c r="D71" s="1132"/>
    </row>
    <row r="72" spans="1:4" x14ac:dyDescent="0.2">
      <c r="A72" s="1133"/>
      <c r="B72" s="1136" t="s">
        <v>2086</v>
      </c>
      <c r="C72" s="1137">
        <f>C56+1</f>
        <v>18</v>
      </c>
      <c r="D72" s="1158" t="s">
        <v>1816</v>
      </c>
    </row>
    <row r="73" spans="1:4" ht="3" customHeight="1" x14ac:dyDescent="0.2">
      <c r="A73" s="1133"/>
      <c r="B73" s="1140"/>
      <c r="C73" s="1137"/>
      <c r="D73" s="1158"/>
    </row>
    <row r="74" spans="1:4" x14ac:dyDescent="0.2">
      <c r="A74" s="1133"/>
      <c r="B74" s="1136" t="s">
        <v>2086</v>
      </c>
      <c r="C74" s="1137">
        <f>C72+1</f>
        <v>19</v>
      </c>
      <c r="D74" s="1148" t="s">
        <v>1266</v>
      </c>
    </row>
    <row r="75" spans="1:4" ht="3" customHeight="1" x14ac:dyDescent="0.2">
      <c r="A75" s="1133"/>
      <c r="B75" s="1140"/>
      <c r="C75" s="1137"/>
      <c r="D75" s="1148"/>
    </row>
    <row r="76" spans="1:4" x14ac:dyDescent="0.2">
      <c r="A76" s="1133"/>
      <c r="B76" s="1136" t="s">
        <v>2086</v>
      </c>
      <c r="C76" s="1137">
        <f>C74+1</f>
        <v>20</v>
      </c>
      <c r="D76" s="1159" t="s">
        <v>1817</v>
      </c>
    </row>
    <row r="77" spans="1:4" ht="3" customHeight="1" x14ac:dyDescent="0.2">
      <c r="A77" s="1133"/>
      <c r="B77" s="1140"/>
      <c r="C77" s="1137"/>
      <c r="D77" s="1159"/>
    </row>
    <row r="78" spans="1:4" x14ac:dyDescent="0.2">
      <c r="A78" s="1133"/>
      <c r="B78" s="1136" t="s">
        <v>2086</v>
      </c>
      <c r="C78" s="1137">
        <f>C76+1</f>
        <v>21</v>
      </c>
      <c r="D78" s="1132" t="s">
        <v>1818</v>
      </c>
    </row>
    <row r="79" spans="1:4" ht="3" customHeight="1" x14ac:dyDescent="0.2">
      <c r="A79" s="1133"/>
      <c r="B79" s="1140"/>
      <c r="C79" s="1137"/>
      <c r="D79" s="1132"/>
    </row>
    <row r="80" spans="1:4" x14ac:dyDescent="0.2">
      <c r="A80" s="1133"/>
      <c r="B80" s="1136" t="s">
        <v>2086</v>
      </c>
      <c r="C80" s="1137">
        <f>C78+1</f>
        <v>22</v>
      </c>
      <c r="D80" s="1160" t="s">
        <v>1819</v>
      </c>
    </row>
    <row r="81" spans="1:4" ht="3" customHeight="1" x14ac:dyDescent="0.2">
      <c r="A81" s="1133"/>
      <c r="B81" s="1140"/>
      <c r="C81" s="1137"/>
      <c r="D81" s="1160"/>
    </row>
    <row r="82" spans="1:4" x14ac:dyDescent="0.2">
      <c r="A82" s="1133"/>
      <c r="B82" s="1136" t="s">
        <v>2086</v>
      </c>
      <c r="C82" s="1137">
        <f>C80+1</f>
        <v>23</v>
      </c>
      <c r="D82" s="1159" t="s">
        <v>1820</v>
      </c>
    </row>
    <row r="83" spans="1:4" ht="10.5" customHeight="1" x14ac:dyDescent="0.2">
      <c r="A83" s="1133"/>
      <c r="B83" s="1142"/>
      <c r="D83" s="1148" t="s">
        <v>1265</v>
      </c>
    </row>
    <row r="84" spans="1:4" ht="3" customHeight="1" x14ac:dyDescent="0.2">
      <c r="A84" s="1133"/>
      <c r="B84" s="1142"/>
      <c r="D84" s="1148"/>
    </row>
    <row r="85" spans="1:4" x14ac:dyDescent="0.2">
      <c r="A85" s="1133"/>
      <c r="B85" s="1136" t="s">
        <v>2086</v>
      </c>
      <c r="C85" s="1137">
        <f>C82+1</f>
        <v>24</v>
      </c>
      <c r="D85" s="1148" t="s">
        <v>1264</v>
      </c>
    </row>
    <row r="86" spans="1:4" ht="3" customHeight="1" x14ac:dyDescent="0.2">
      <c r="A86" s="1133"/>
      <c r="B86" s="1140"/>
      <c r="C86" s="1137"/>
      <c r="D86" s="1148"/>
    </row>
    <row r="87" spans="1:4" x14ac:dyDescent="0.2">
      <c r="A87" s="1133"/>
      <c r="B87" s="1136" t="s">
        <v>2086</v>
      </c>
      <c r="C87" s="1137">
        <f>C85+1</f>
        <v>25</v>
      </c>
      <c r="D87" s="1148" t="s">
        <v>1263</v>
      </c>
    </row>
    <row r="88" spans="1:4" ht="3" customHeight="1" x14ac:dyDescent="0.2">
      <c r="A88" s="1133"/>
      <c r="B88" s="1140"/>
      <c r="C88" s="1137"/>
      <c r="D88" s="1148"/>
    </row>
    <row r="89" spans="1:4" x14ac:dyDescent="0.2">
      <c r="A89" s="1133"/>
      <c r="B89" s="1136" t="s">
        <v>2086</v>
      </c>
      <c r="C89" s="1137">
        <f>C87+1</f>
        <v>26</v>
      </c>
      <c r="D89" s="1148" t="s">
        <v>1262</v>
      </c>
    </row>
    <row r="90" spans="1:4" ht="3" customHeight="1" x14ac:dyDescent="0.2">
      <c r="A90" s="1133"/>
      <c r="B90" s="1140"/>
      <c r="C90" s="1137"/>
      <c r="D90" s="1148"/>
    </row>
    <row r="91" spans="1:4" x14ac:dyDescent="0.2">
      <c r="A91" s="1133"/>
      <c r="B91" s="1136" t="s">
        <v>2108</v>
      </c>
      <c r="C91" s="1137">
        <f>C89+1</f>
        <v>27</v>
      </c>
      <c r="D91" s="1148" t="s">
        <v>1821</v>
      </c>
    </row>
    <row r="92" spans="1:4" x14ac:dyDescent="0.2">
      <c r="A92" s="1133"/>
      <c r="B92" s="1161"/>
      <c r="C92" s="1155" t="s">
        <v>2108</v>
      </c>
      <c r="D92" s="1148" t="s">
        <v>1261</v>
      </c>
    </row>
    <row r="93" spans="1:4" ht="4.5" customHeight="1" x14ac:dyDescent="0.2">
      <c r="A93" s="1133"/>
      <c r="D93" s="1132"/>
    </row>
    <row r="94" spans="1:4" x14ac:dyDescent="0.2">
      <c r="A94" s="1133"/>
      <c r="B94" s="1134" t="s">
        <v>1658</v>
      </c>
      <c r="C94" s="1135"/>
      <c r="D94" s="1132"/>
    </row>
    <row r="95" spans="1:4" ht="4.5" customHeight="1" x14ac:dyDescent="0.2">
      <c r="A95" s="1133"/>
      <c r="B95" s="1134"/>
      <c r="C95" s="1135"/>
      <c r="D95" s="1132"/>
    </row>
    <row r="96" spans="1:4" x14ac:dyDescent="0.2">
      <c r="A96" s="1133"/>
      <c r="B96" s="1136" t="s">
        <v>2086</v>
      </c>
      <c r="C96" s="1137">
        <f>C91+1</f>
        <v>28</v>
      </c>
      <c r="D96" s="1148" t="s">
        <v>1822</v>
      </c>
    </row>
    <row r="97" spans="1:4" ht="3" customHeight="1" x14ac:dyDescent="0.2">
      <c r="A97" s="1133"/>
      <c r="B97" s="1140"/>
      <c r="C97" s="1137"/>
      <c r="D97" s="1148"/>
    </row>
    <row r="98" spans="1:4" x14ac:dyDescent="0.2">
      <c r="A98" s="1133"/>
      <c r="B98" s="1136" t="s">
        <v>2086</v>
      </c>
      <c r="C98" s="1137">
        <f>C96+1</f>
        <v>29</v>
      </c>
      <c r="D98" s="1162" t="s">
        <v>1823</v>
      </c>
    </row>
    <row r="99" spans="1:4" ht="3" customHeight="1" x14ac:dyDescent="0.2">
      <c r="A99" s="1133"/>
      <c r="B99" s="1140"/>
      <c r="C99" s="1137"/>
      <c r="D99" s="1162"/>
    </row>
    <row r="100" spans="1:4" x14ac:dyDescent="0.2">
      <c r="A100" s="1133"/>
      <c r="B100" s="1136" t="s">
        <v>2086</v>
      </c>
      <c r="C100" s="1137">
        <f>C98+1</f>
        <v>30</v>
      </c>
      <c r="D100" s="1148" t="s">
        <v>1824</v>
      </c>
    </row>
    <row r="101" spans="1:4" ht="3" customHeight="1" x14ac:dyDescent="0.2">
      <c r="A101" s="1133"/>
      <c r="B101" s="1140"/>
      <c r="C101" s="1137"/>
      <c r="D101" s="1163"/>
    </row>
    <row r="102" spans="1:4" x14ac:dyDescent="0.2">
      <c r="A102" s="1133"/>
      <c r="B102" s="1136" t="s">
        <v>2086</v>
      </c>
      <c r="C102" s="1137">
        <f>C100+1</f>
        <v>31</v>
      </c>
      <c r="D102" s="1148" t="s">
        <v>1659</v>
      </c>
    </row>
    <row r="103" spans="1:4" ht="4.5" customHeight="1" x14ac:dyDescent="0.2">
      <c r="A103" s="1133"/>
      <c r="B103" s="308"/>
      <c r="C103" s="1137"/>
      <c r="D103" s="1148"/>
    </row>
    <row r="104" spans="1:4" ht="14.1" customHeight="1" x14ac:dyDescent="0.2">
      <c r="A104" s="1133"/>
      <c r="B104" s="1164" t="s">
        <v>1260</v>
      </c>
    </row>
    <row r="105" spans="1:4" ht="4.5" customHeight="1" x14ac:dyDescent="0.2">
      <c r="A105" s="1133"/>
      <c r="B105" s="1164"/>
    </row>
    <row r="106" spans="1:4" x14ac:dyDescent="0.2">
      <c r="A106" s="1133"/>
      <c r="B106" s="1136" t="s">
        <v>2086</v>
      </c>
      <c r="C106" s="1137">
        <f>C102+1</f>
        <v>32</v>
      </c>
      <c r="D106" s="1132" t="s">
        <v>1660</v>
      </c>
    </row>
    <row r="107" spans="1:4" ht="3" customHeight="1" x14ac:dyDescent="0.2">
      <c r="A107" s="1133"/>
      <c r="B107" s="1140"/>
      <c r="C107" s="1137"/>
      <c r="D107" s="1132"/>
    </row>
    <row r="108" spans="1:4" x14ac:dyDescent="0.2">
      <c r="A108" s="1133"/>
      <c r="B108" s="1136" t="s">
        <v>2086</v>
      </c>
      <c r="C108" s="1137">
        <v>33</v>
      </c>
      <c r="D108" s="1132" t="s">
        <v>1825</v>
      </c>
    </row>
    <row r="109" spans="1:4" ht="3" customHeight="1" x14ac:dyDescent="0.2">
      <c r="A109" s="1133"/>
      <c r="B109" s="1140"/>
      <c r="C109" s="1137"/>
      <c r="D109" s="1132"/>
    </row>
    <row r="110" spans="1:4" x14ac:dyDescent="0.2">
      <c r="A110" s="1133"/>
      <c r="B110" s="1136" t="s">
        <v>2108</v>
      </c>
      <c r="C110" s="1137">
        <f>C108+1</f>
        <v>34</v>
      </c>
      <c r="D110" s="1132" t="s">
        <v>1259</v>
      </c>
    </row>
    <row r="111" spans="1:4" ht="3" customHeight="1" x14ac:dyDescent="0.2">
      <c r="A111" s="1133"/>
      <c r="B111" s="1140"/>
      <c r="C111" s="1137"/>
      <c r="D111" s="1132"/>
    </row>
    <row r="112" spans="1:4" x14ac:dyDescent="0.2">
      <c r="A112" s="1133"/>
      <c r="B112" s="1136" t="s">
        <v>2086</v>
      </c>
      <c r="C112" s="1137">
        <f>C110+1</f>
        <v>35</v>
      </c>
      <c r="D112" s="1132" t="s">
        <v>1258</v>
      </c>
    </row>
    <row r="113" spans="1:4" ht="11.25" customHeight="1" x14ac:dyDescent="0.2">
      <c r="A113" s="1133"/>
      <c r="B113" s="1165"/>
      <c r="C113" s="1137"/>
      <c r="D113" s="1166" t="s">
        <v>1257</v>
      </c>
    </row>
    <row r="114" spans="1:4" ht="3" customHeight="1" x14ac:dyDescent="0.2">
      <c r="A114" s="1133"/>
      <c r="B114" s="1167"/>
      <c r="C114" s="1137"/>
      <c r="D114" s="1166"/>
    </row>
    <row r="115" spans="1:4" x14ac:dyDescent="0.2">
      <c r="A115" s="1133"/>
      <c r="B115" s="1136" t="s">
        <v>2108</v>
      </c>
      <c r="C115" s="1137">
        <f>C112+1</f>
        <v>36</v>
      </c>
      <c r="D115" s="1148" t="s">
        <v>1256</v>
      </c>
    </row>
    <row r="116" spans="1:4" ht="3" customHeight="1" x14ac:dyDescent="0.2">
      <c r="A116" s="1133"/>
      <c r="B116" s="1140"/>
      <c r="C116" s="1137"/>
      <c r="D116" s="1148"/>
    </row>
    <row r="117" spans="1:4" x14ac:dyDescent="0.2">
      <c r="A117" s="1133"/>
      <c r="B117" s="1136" t="s">
        <v>2108</v>
      </c>
      <c r="C117" s="1137">
        <f>C115+1</f>
        <v>37</v>
      </c>
      <c r="D117" s="1148" t="s">
        <v>1826</v>
      </c>
    </row>
    <row r="118" spans="1:4" ht="3" customHeight="1" x14ac:dyDescent="0.2">
      <c r="A118" s="1133"/>
      <c r="B118" s="1140"/>
      <c r="C118" s="1137"/>
      <c r="D118" s="1148"/>
    </row>
    <row r="119" spans="1:4" x14ac:dyDescent="0.2">
      <c r="A119" s="1133"/>
      <c r="B119" s="1136" t="s">
        <v>2108</v>
      </c>
      <c r="C119" s="1137">
        <f>C117+1</f>
        <v>38</v>
      </c>
      <c r="D119" s="1148" t="s">
        <v>1827</v>
      </c>
    </row>
    <row r="120" spans="1:4" ht="10.5" customHeight="1" x14ac:dyDescent="0.2">
      <c r="A120" s="1133"/>
      <c r="B120" s="1161"/>
      <c r="C120" s="1137"/>
      <c r="D120" s="1148" t="s">
        <v>1255</v>
      </c>
    </row>
    <row r="121" spans="1:4" ht="10.5" customHeight="1" x14ac:dyDescent="0.2">
      <c r="A121" s="1133"/>
      <c r="B121" s="1161"/>
      <c r="C121" s="1137"/>
      <c r="D121" s="1148" t="s">
        <v>1254</v>
      </c>
    </row>
    <row r="122" spans="1:4" ht="3" customHeight="1" x14ac:dyDescent="0.2">
      <c r="A122" s="1133"/>
      <c r="B122" s="1161"/>
      <c r="C122" s="1137"/>
      <c r="D122" s="1148"/>
    </row>
    <row r="123" spans="1:4" x14ac:dyDescent="0.2">
      <c r="A123" s="1133"/>
      <c r="B123" s="1136" t="s">
        <v>2086</v>
      </c>
      <c r="C123" s="1137">
        <f>C119+1</f>
        <v>39</v>
      </c>
      <c r="D123" s="1158" t="s">
        <v>1944</v>
      </c>
    </row>
    <row r="124" spans="1:4" x14ac:dyDescent="0.2">
      <c r="A124" s="1133"/>
      <c r="B124" s="308"/>
      <c r="C124" s="1137"/>
      <c r="D124" s="1148" t="s">
        <v>1253</v>
      </c>
    </row>
    <row r="125" spans="1:4" ht="4.5" customHeight="1" x14ac:dyDescent="0.2">
      <c r="A125" s="1133"/>
      <c r="D125" s="1132"/>
    </row>
    <row r="126" spans="1:4" x14ac:dyDescent="0.2">
      <c r="A126" s="1133"/>
      <c r="B126" s="1168"/>
      <c r="C126" s="1137"/>
      <c r="D126" s="1148"/>
    </row>
    <row r="127" spans="1:4" x14ac:dyDescent="0.2">
      <c r="A127" s="1133"/>
      <c r="D127" s="1148"/>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E49"/>
  <sheetViews>
    <sheetView showGridLines="0" topLeftCell="A4" zoomScaleNormal="100" zoomScaleSheetLayoutView="100" workbookViewId="0">
      <selection activeCell="D14" sqref="D14"/>
    </sheetView>
  </sheetViews>
  <sheetFormatPr defaultColWidth="15.7109375" defaultRowHeight="12.75" x14ac:dyDescent="0.2"/>
  <cols>
    <col min="1" max="1" width="31.85546875" style="313" customWidth="1"/>
    <col min="2" max="2" width="29.5703125" style="1169" customWidth="1"/>
    <col min="3" max="3" width="1.28515625" style="1169" customWidth="1"/>
    <col min="4" max="4" width="24.42578125" style="1170" customWidth="1"/>
    <col min="5" max="5" width="5" style="313" customWidth="1"/>
    <col min="6" max="16384" width="15.7109375" style="313"/>
  </cols>
  <sheetData>
    <row r="1" spans="1:5" x14ac:dyDescent="0.2">
      <c r="A1" s="2498" t="str">
        <f>'Single Audit Cover'!A7</f>
        <v>Champaign Community Unit School District 4</v>
      </c>
      <c r="B1" s="2498"/>
      <c r="C1" s="2498"/>
      <c r="D1" s="2498"/>
      <c r="E1" s="2498"/>
    </row>
    <row r="2" spans="1:5" x14ac:dyDescent="0.2">
      <c r="A2" s="2499">
        <f>'Single Audit Cover'!E7</f>
        <v>9010004026</v>
      </c>
      <c r="B2" s="2499"/>
      <c r="C2" s="2499"/>
      <c r="D2" s="2499"/>
      <c r="E2" s="2499"/>
    </row>
    <row r="3" spans="1:5" ht="4.5" customHeight="1" x14ac:dyDescent="0.2"/>
    <row r="4" spans="1:5" x14ac:dyDescent="0.2">
      <c r="A4" s="2498" t="s">
        <v>1306</v>
      </c>
      <c r="B4" s="2498"/>
      <c r="C4" s="2498"/>
      <c r="D4" s="2498"/>
      <c r="E4" s="2498"/>
    </row>
    <row r="5" spans="1:5" x14ac:dyDescent="0.2">
      <c r="A5" s="2500" t="str">
        <f>'Single Audit Cover'!A4</f>
        <v>Year Ending June 30, 2018</v>
      </c>
      <c r="B5" s="2500"/>
      <c r="C5" s="2500"/>
      <c r="D5" s="2500"/>
      <c r="E5" s="2500"/>
    </row>
    <row r="6" spans="1:5" x14ac:dyDescent="0.2">
      <c r="A6" s="2498" t="s">
        <v>1305</v>
      </c>
      <c r="B6" s="2498"/>
      <c r="C6" s="2498"/>
      <c r="D6" s="2498"/>
      <c r="E6" s="2498"/>
    </row>
    <row r="8" spans="1:5" x14ac:dyDescent="0.2">
      <c r="A8" s="1171" t="s">
        <v>1304</v>
      </c>
    </row>
    <row r="10" spans="1:5" x14ac:dyDescent="0.2">
      <c r="A10" s="1172" t="s">
        <v>1303</v>
      </c>
      <c r="B10" s="1173" t="s">
        <v>1302</v>
      </c>
      <c r="C10" s="1173"/>
      <c r="D10" s="1174">
        <f>SUM('Acct Summary 7-8'!C7:K7)</f>
        <v>12674071</v>
      </c>
    </row>
    <row r="11" spans="1:5" ht="18" customHeight="1" x14ac:dyDescent="0.2">
      <c r="A11" s="1172" t="s">
        <v>1301</v>
      </c>
      <c r="B11" s="1173"/>
      <c r="C11" s="1173"/>
    </row>
    <row r="12" spans="1:5" x14ac:dyDescent="0.2">
      <c r="A12" s="1172" t="s">
        <v>1300</v>
      </c>
      <c r="B12" s="1173" t="s">
        <v>1299</v>
      </c>
      <c r="C12" s="1173"/>
      <c r="D12" s="1175">
        <f>SUM('Revenues 9-14'!C112:D112,'Revenues 9-14'!F112:G112)</f>
        <v>0</v>
      </c>
    </row>
    <row r="13" spans="1:5" x14ac:dyDescent="0.2">
      <c r="A13" s="1172" t="s">
        <v>1298</v>
      </c>
      <c r="B13" s="1173"/>
      <c r="C13" s="1173"/>
    </row>
    <row r="14" spans="1:5" x14ac:dyDescent="0.2">
      <c r="A14" s="1172" t="s">
        <v>1829</v>
      </c>
      <c r="B14" s="1173"/>
      <c r="C14" s="1173"/>
      <c r="D14" s="1175">
        <f>'ICR Computation 30'!E11</f>
        <v>338639</v>
      </c>
    </row>
    <row r="15" spans="1:5" x14ac:dyDescent="0.2">
      <c r="A15" s="1172"/>
      <c r="B15" s="1173"/>
      <c r="C15" s="1173"/>
    </row>
    <row r="16" spans="1:5" x14ac:dyDescent="0.2">
      <c r="A16" s="1172" t="s">
        <v>1952</v>
      </c>
      <c r="B16" s="1173"/>
      <c r="C16" s="1173"/>
    </row>
    <row r="17" spans="1:4" x14ac:dyDescent="0.2">
      <c r="A17" s="1172" t="s">
        <v>1600</v>
      </c>
      <c r="B17" s="1173" t="s">
        <v>1297</v>
      </c>
      <c r="C17" s="1173"/>
      <c r="D17" s="1175">
        <f>-SUM('Revenues 9-14'!C271:D271,'Revenues 9-14'!F271:G271)</f>
        <v>-505071</v>
      </c>
    </row>
    <row r="19" spans="1:4" ht="13.5" thickBot="1" x14ac:dyDescent="0.25">
      <c r="A19" s="1176" t="s">
        <v>1296</v>
      </c>
      <c r="D19" s="1177">
        <f>SUM(D10:D17)</f>
        <v>12507639</v>
      </c>
    </row>
    <row r="20" spans="1:4" ht="21.75" customHeight="1" thickTop="1" x14ac:dyDescent="0.2"/>
    <row r="21" spans="1:4" x14ac:dyDescent="0.2">
      <c r="A21" s="1171" t="s">
        <v>1295</v>
      </c>
    </row>
    <row r="22" spans="1:4" ht="8.25" customHeight="1" x14ac:dyDescent="0.2"/>
    <row r="23" spans="1:4" x14ac:dyDescent="0.2">
      <c r="A23" s="1178" t="s">
        <v>1289</v>
      </c>
    </row>
    <row r="24" spans="1:4" x14ac:dyDescent="0.2">
      <c r="A24" s="2501" t="s">
        <v>2238</v>
      </c>
      <c r="B24" s="2502"/>
      <c r="D24" s="1179">
        <v>-1415923</v>
      </c>
    </row>
    <row r="25" spans="1:4" x14ac:dyDescent="0.2">
      <c r="A25" s="2503" t="s">
        <v>2239</v>
      </c>
      <c r="B25" s="2504"/>
      <c r="D25" s="1179">
        <v>-338639</v>
      </c>
    </row>
    <row r="26" spans="1:4" x14ac:dyDescent="0.2">
      <c r="A26" s="2497"/>
      <c r="B26" s="2497"/>
      <c r="D26" s="1179"/>
    </row>
    <row r="27" spans="1:4" x14ac:dyDescent="0.2">
      <c r="A27" s="2497"/>
      <c r="B27" s="2497"/>
      <c r="D27" s="1179"/>
    </row>
    <row r="28" spans="1:4" x14ac:dyDescent="0.2">
      <c r="A28" s="2497"/>
      <c r="B28" s="2497"/>
      <c r="D28" s="1179"/>
    </row>
    <row r="29" spans="1:4" x14ac:dyDescent="0.2">
      <c r="A29" s="2497"/>
      <c r="B29" s="2497"/>
      <c r="D29" s="1179"/>
    </row>
    <row r="30" spans="1:4" x14ac:dyDescent="0.2">
      <c r="A30" s="2497"/>
      <c r="B30" s="2497"/>
      <c r="D30" s="1179"/>
    </row>
    <row r="32" spans="1:4" x14ac:dyDescent="0.2">
      <c r="A32" s="1171" t="s">
        <v>1294</v>
      </c>
      <c r="D32" s="1174">
        <f>SUM(D19:D30)</f>
        <v>10753077</v>
      </c>
    </row>
    <row r="33" spans="1:4" x14ac:dyDescent="0.2">
      <c r="D33" s="1180"/>
    </row>
    <row r="34" spans="1:4" x14ac:dyDescent="0.2">
      <c r="A34" s="313" t="s">
        <v>1293</v>
      </c>
    </row>
    <row r="35" spans="1:4" x14ac:dyDescent="0.2">
      <c r="A35" s="313" t="s">
        <v>1292</v>
      </c>
      <c r="B35" s="1169" t="s">
        <v>1291</v>
      </c>
      <c r="D35" s="1181"/>
    </row>
    <row r="37" spans="1:4" x14ac:dyDescent="0.2">
      <c r="A37" s="1171" t="s">
        <v>1290</v>
      </c>
    </row>
    <row r="39" spans="1:4" ht="13.35" customHeight="1" x14ac:dyDescent="0.2">
      <c r="A39" s="1178" t="s">
        <v>1289</v>
      </c>
    </row>
    <row r="40" spans="1:4" x14ac:dyDescent="0.2">
      <c r="A40" s="2497"/>
      <c r="B40" s="2497"/>
      <c r="D40" s="1179"/>
    </row>
    <row r="41" spans="1:4" x14ac:dyDescent="0.2">
      <c r="A41" s="2497"/>
      <c r="B41" s="2497"/>
      <c r="D41" s="1182"/>
    </row>
    <row r="42" spans="1:4" x14ac:dyDescent="0.2">
      <c r="A42" s="2497"/>
      <c r="B42" s="2497"/>
      <c r="D42" s="1182"/>
    </row>
    <row r="43" spans="1:4" x14ac:dyDescent="0.2">
      <c r="A43" s="2497"/>
      <c r="B43" s="2497"/>
      <c r="D43" s="1182"/>
    </row>
    <row r="44" spans="1:4" x14ac:dyDescent="0.2">
      <c r="A44" s="2497"/>
      <c r="B44" s="2497"/>
      <c r="D44" s="1182"/>
    </row>
    <row r="45" spans="1:4" x14ac:dyDescent="0.2">
      <c r="A45" s="2497"/>
      <c r="B45" s="2497"/>
      <c r="D45" s="1182"/>
    </row>
    <row r="47" spans="1:4" x14ac:dyDescent="0.2">
      <c r="B47" s="1183" t="s">
        <v>1288</v>
      </c>
      <c r="C47" s="1183"/>
      <c r="D47" s="1184">
        <f>SUM(D35:D45)</f>
        <v>0</v>
      </c>
    </row>
    <row r="49" spans="2:4" x14ac:dyDescent="0.2">
      <c r="B49" s="1183" t="s">
        <v>1287</v>
      </c>
      <c r="C49" s="1183"/>
      <c r="D49" s="1184">
        <f>D32-D47</f>
        <v>10753077</v>
      </c>
    </row>
  </sheetData>
  <sheetProtection sheet="1" objects="1" scenarios="1"/>
  <mergeCells count="18">
    <mergeCell ref="A27:B27"/>
    <mergeCell ref="A1:E1"/>
    <mergeCell ref="A2:E2"/>
    <mergeCell ref="A26:B26"/>
    <mergeCell ref="A4:E4"/>
    <mergeCell ref="A5:E5"/>
    <mergeCell ref="A6:E6"/>
    <mergeCell ref="A24:B24"/>
    <mergeCell ref="A25:B25"/>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pageSetUpPr fitToPage="1"/>
  </sheetPr>
  <dimension ref="B1:O226"/>
  <sheetViews>
    <sheetView showGridLines="0" topLeftCell="A94" zoomScaleNormal="100" workbookViewId="0">
      <selection activeCell="E41" sqref="E41"/>
    </sheetView>
  </sheetViews>
  <sheetFormatPr defaultColWidth="33.5703125" defaultRowHeight="12.75" x14ac:dyDescent="0.2"/>
  <cols>
    <col min="1" max="1" width="0.140625" style="313" customWidth="1"/>
    <col min="2" max="2" width="43.7109375" style="313" customWidth="1"/>
    <col min="3" max="3" width="8.7109375" style="1262" customWidth="1"/>
    <col min="4" max="4" width="13" style="1263" bestFit="1" customWidth="1"/>
    <col min="5" max="6" width="13" style="313" bestFit="1" customWidth="1"/>
    <col min="7" max="7" width="11.7109375" style="1169" customWidth="1"/>
    <col min="8" max="8" width="14.28515625" style="1169" bestFit="1" customWidth="1"/>
    <col min="9" max="9" width="13" style="1169" bestFit="1" customWidth="1"/>
    <col min="10" max="10" width="14.28515625" style="1169" bestFit="1" customWidth="1"/>
    <col min="11" max="12" width="11.7109375" style="1169" customWidth="1"/>
    <col min="13" max="13" width="11.7109375" style="313" customWidth="1"/>
    <col min="14" max="14" width="2.7109375" style="313" customWidth="1"/>
    <col min="15" max="16384" width="33.5703125" style="313"/>
  </cols>
  <sheetData>
    <row r="1" spans="2:14" ht="11.85" customHeight="1" x14ac:dyDescent="0.2">
      <c r="B1" s="2479" t="str">
        <f>+'Single Audit Cover'!A7</f>
        <v>Champaign Community Unit School District 4</v>
      </c>
      <c r="C1" s="2505"/>
      <c r="D1" s="2505"/>
      <c r="E1" s="2505"/>
      <c r="F1" s="2505"/>
      <c r="G1" s="2505"/>
      <c r="H1" s="2505"/>
      <c r="I1" s="2505"/>
      <c r="J1" s="2505"/>
      <c r="K1" s="2505"/>
      <c r="L1" s="2505"/>
      <c r="M1" s="2505"/>
    </row>
    <row r="2" spans="2:14" ht="15" x14ac:dyDescent="0.2">
      <c r="B2" s="2506" t="str">
        <f>'[1]Single Audit Cover'!E7</f>
        <v>50082189022</v>
      </c>
      <c r="C2" s="2506"/>
      <c r="D2" s="2506"/>
      <c r="E2" s="2506"/>
      <c r="F2" s="2506"/>
      <c r="G2" s="2506"/>
      <c r="H2" s="2506"/>
      <c r="I2" s="2506"/>
      <c r="J2" s="2506"/>
      <c r="K2" s="2506"/>
      <c r="L2" s="2506"/>
      <c r="M2" s="2506"/>
      <c r="N2" s="1213"/>
    </row>
    <row r="3" spans="2:14" ht="15" x14ac:dyDescent="0.2">
      <c r="B3" s="2507" t="s">
        <v>1280</v>
      </c>
      <c r="C3" s="2507"/>
      <c r="D3" s="2507"/>
      <c r="E3" s="2507"/>
      <c r="F3" s="2507"/>
      <c r="G3" s="2507"/>
      <c r="H3" s="2507"/>
      <c r="I3" s="2507"/>
      <c r="J3" s="2507"/>
      <c r="K3" s="2507"/>
      <c r="L3" s="2507"/>
      <c r="M3" s="2507"/>
      <c r="N3" s="1213"/>
    </row>
    <row r="4" spans="2:14" ht="15" x14ac:dyDescent="0.2">
      <c r="B4" s="2508" t="str">
        <f>'[1]Single Audit Cover'!A4</f>
        <v>Year Ending June 30, 2018</v>
      </c>
      <c r="C4" s="2508"/>
      <c r="D4" s="2508"/>
      <c r="E4" s="2508"/>
      <c r="F4" s="2508"/>
      <c r="G4" s="2508"/>
      <c r="H4" s="2508"/>
      <c r="I4" s="2508"/>
      <c r="J4" s="2508"/>
      <c r="K4" s="2508"/>
      <c r="L4" s="2508"/>
      <c r="M4" s="2508"/>
      <c r="N4" s="1213"/>
    </row>
    <row r="6" spans="2:14" x14ac:dyDescent="0.2">
      <c r="B6" s="1214"/>
      <c r="C6" s="1215"/>
      <c r="D6" s="1216" t="s">
        <v>1326</v>
      </c>
      <c r="E6" s="1217" t="s">
        <v>547</v>
      </c>
      <c r="F6" s="1218"/>
      <c r="G6" s="1219" t="s">
        <v>1833</v>
      </c>
      <c r="H6" s="1217"/>
      <c r="I6" s="1217"/>
      <c r="J6" s="1217"/>
      <c r="K6" s="1220"/>
      <c r="L6" s="1221"/>
      <c r="M6" s="1222"/>
    </row>
    <row r="7" spans="2:14" x14ac:dyDescent="0.2">
      <c r="B7" s="1223" t="s">
        <v>1661</v>
      </c>
      <c r="C7" s="1224"/>
      <c r="D7" s="1225"/>
      <c r="E7" s="1226"/>
      <c r="F7" s="1227"/>
      <c r="G7" s="1226"/>
      <c r="H7" s="1228" t="s">
        <v>1323</v>
      </c>
      <c r="I7" s="1226"/>
      <c r="J7" s="1229" t="s">
        <v>1323</v>
      </c>
      <c r="K7" s="1230"/>
      <c r="L7" s="1231" t="s">
        <v>1321</v>
      </c>
      <c r="M7" s="1232"/>
    </row>
    <row r="8" spans="2:14" x14ac:dyDescent="0.2">
      <c r="B8" s="1580"/>
      <c r="C8" s="1224" t="s">
        <v>1325</v>
      </c>
      <c r="D8" s="1225" t="s">
        <v>1324</v>
      </c>
      <c r="E8" s="1233" t="s">
        <v>1323</v>
      </c>
      <c r="F8" s="1234" t="s">
        <v>1323</v>
      </c>
      <c r="G8" s="1235" t="s">
        <v>1323</v>
      </c>
      <c r="H8" s="1228" t="s">
        <v>1662</v>
      </c>
      <c r="I8" s="1230" t="s">
        <v>1323</v>
      </c>
      <c r="J8" s="1229" t="s">
        <v>1946</v>
      </c>
      <c r="K8" s="1230" t="s">
        <v>1322</v>
      </c>
      <c r="L8" s="1231" t="s">
        <v>1318</v>
      </c>
      <c r="M8" s="1232" t="s">
        <v>30</v>
      </c>
    </row>
    <row r="9" spans="2:14" ht="14.25" x14ac:dyDescent="0.2">
      <c r="B9" s="1236" t="s">
        <v>1320</v>
      </c>
      <c r="C9" s="1224" t="s">
        <v>1834</v>
      </c>
      <c r="D9" s="1225" t="s">
        <v>1835</v>
      </c>
      <c r="E9" s="1233" t="s">
        <v>1662</v>
      </c>
      <c r="F9" s="1234" t="s">
        <v>1946</v>
      </c>
      <c r="G9" s="1235" t="s">
        <v>1662</v>
      </c>
      <c r="H9" s="1228" t="s">
        <v>1663</v>
      </c>
      <c r="I9" s="1230" t="s">
        <v>1946</v>
      </c>
      <c r="J9" s="1229" t="s">
        <v>1663</v>
      </c>
      <c r="K9" s="1230" t="s">
        <v>1319</v>
      </c>
      <c r="L9" s="1237" t="s">
        <v>1664</v>
      </c>
      <c r="M9" s="1232"/>
    </row>
    <row r="10" spans="2:14" ht="16.899999999999999" customHeight="1" x14ac:dyDescent="0.2">
      <c r="B10" s="1236" t="s">
        <v>1317</v>
      </c>
      <c r="C10" s="1238" t="s">
        <v>1316</v>
      </c>
      <c r="D10" s="1239" t="s">
        <v>1315</v>
      </c>
      <c r="E10" s="1240" t="s">
        <v>1314</v>
      </c>
      <c r="F10" s="1241" t="s">
        <v>1313</v>
      </c>
      <c r="G10" s="1242" t="s">
        <v>1312</v>
      </c>
      <c r="H10" s="1243" t="s">
        <v>1327</v>
      </c>
      <c r="I10" s="1244" t="s">
        <v>1311</v>
      </c>
      <c r="J10" s="1245" t="s">
        <v>1327</v>
      </c>
      <c r="K10" s="1246" t="s">
        <v>1310</v>
      </c>
      <c r="L10" s="1246" t="s">
        <v>1309</v>
      </c>
      <c r="M10" s="1247" t="s">
        <v>1308</v>
      </c>
    </row>
    <row r="11" spans="2:14" x14ac:dyDescent="0.2">
      <c r="B11" s="1973" t="s">
        <v>2282</v>
      </c>
      <c r="C11" s="1978"/>
      <c r="D11" s="1977"/>
      <c r="E11" s="1974"/>
      <c r="F11" s="1974"/>
      <c r="G11" s="1974"/>
      <c r="H11" s="1974"/>
      <c r="I11" s="1974"/>
      <c r="J11" s="1974"/>
      <c r="K11" s="1974"/>
      <c r="L11" s="1974"/>
      <c r="M11" s="1974"/>
    </row>
    <row r="12" spans="2:14" x14ac:dyDescent="0.2">
      <c r="B12" s="1973"/>
      <c r="C12" s="1978"/>
      <c r="D12" s="1977"/>
      <c r="E12" s="1974"/>
      <c r="F12" s="1974"/>
      <c r="G12" s="1974"/>
      <c r="H12" s="1974"/>
      <c r="I12" s="1974"/>
      <c r="J12" s="1974"/>
      <c r="K12" s="1974"/>
      <c r="L12" s="1974"/>
      <c r="M12" s="1974"/>
    </row>
    <row r="13" spans="2:14" x14ac:dyDescent="0.2">
      <c r="B13" s="1973" t="s">
        <v>2155</v>
      </c>
      <c r="C13" s="1978"/>
      <c r="D13" s="1977"/>
      <c r="E13" s="1974"/>
      <c r="F13" s="1974"/>
      <c r="G13" s="1974"/>
      <c r="H13" s="1974"/>
      <c r="I13" s="1974"/>
      <c r="J13" s="1974"/>
      <c r="K13" s="1974"/>
      <c r="L13" s="1974"/>
      <c r="M13" s="1974"/>
    </row>
    <row r="14" spans="2:14" x14ac:dyDescent="0.2">
      <c r="B14" s="1975" t="s">
        <v>2154</v>
      </c>
      <c r="C14" s="1978">
        <v>84.165000000000006</v>
      </c>
      <c r="D14" s="1977" t="s">
        <v>2153</v>
      </c>
      <c r="E14" s="1974">
        <v>0</v>
      </c>
      <c r="F14" s="1974">
        <v>103241</v>
      </c>
      <c r="G14" s="1974">
        <v>0</v>
      </c>
      <c r="H14" s="1974"/>
      <c r="I14" s="1974">
        <v>355792</v>
      </c>
      <c r="J14" s="1974"/>
      <c r="K14" s="1974">
        <v>0</v>
      </c>
      <c r="L14" s="1974">
        <f>+G14+I14+K14</f>
        <v>355792</v>
      </c>
      <c r="M14" s="1974" t="s">
        <v>2108</v>
      </c>
    </row>
    <row r="15" spans="2:14" x14ac:dyDescent="0.2">
      <c r="B15" s="1973" t="s">
        <v>2152</v>
      </c>
      <c r="C15" s="1978"/>
      <c r="D15" s="1977"/>
      <c r="E15" s="1976">
        <f>+E14</f>
        <v>0</v>
      </c>
      <c r="F15" s="1976">
        <f>+F14</f>
        <v>103241</v>
      </c>
      <c r="G15" s="1976">
        <f>+G14</f>
        <v>0</v>
      </c>
      <c r="H15" s="1976"/>
      <c r="I15" s="1976">
        <f>+I14</f>
        <v>355792</v>
      </c>
      <c r="J15" s="1976"/>
      <c r="K15" s="1976">
        <f>+K14</f>
        <v>0</v>
      </c>
      <c r="L15" s="1976">
        <f>+L14</f>
        <v>355792</v>
      </c>
      <c r="M15" s="1976" t="s">
        <v>2108</v>
      </c>
    </row>
    <row r="16" spans="2:14" x14ac:dyDescent="0.2">
      <c r="B16" s="1973"/>
      <c r="C16" s="1978"/>
      <c r="D16" s="1977"/>
      <c r="E16" s="1974"/>
      <c r="F16" s="1974"/>
      <c r="G16" s="1974"/>
      <c r="H16" s="1974"/>
      <c r="I16" s="1974"/>
      <c r="J16" s="1974"/>
      <c r="K16" s="1974"/>
      <c r="L16" s="1974"/>
      <c r="M16" s="1974"/>
    </row>
    <row r="17" spans="2:15" ht="22.5" x14ac:dyDescent="0.2">
      <c r="B17" s="1973" t="s">
        <v>2192</v>
      </c>
      <c r="C17" s="1978"/>
      <c r="D17" s="1977"/>
      <c r="E17" s="1974"/>
      <c r="F17" s="1974"/>
      <c r="G17" s="1974"/>
      <c r="H17" s="1974"/>
      <c r="I17" s="1974"/>
      <c r="J17" s="1974"/>
      <c r="K17" s="1974"/>
      <c r="L17" s="1974"/>
      <c r="M17" s="1974"/>
    </row>
    <row r="18" spans="2:15" x14ac:dyDescent="0.2">
      <c r="B18" s="1975"/>
      <c r="C18" s="1978"/>
      <c r="D18" s="1977"/>
      <c r="E18" s="1974"/>
      <c r="F18" s="1974"/>
      <c r="G18" s="1974"/>
      <c r="H18" s="1974"/>
      <c r="I18" s="1974"/>
      <c r="J18" s="1974"/>
      <c r="K18" s="1974"/>
      <c r="L18" s="1974"/>
      <c r="M18" s="1974"/>
    </row>
    <row r="19" spans="2:15" ht="25.15" customHeight="1" x14ac:dyDescent="0.2">
      <c r="B19" s="1973" t="s">
        <v>2191</v>
      </c>
      <c r="C19" s="1978"/>
      <c r="D19" s="1977"/>
      <c r="E19" s="1974"/>
      <c r="F19" s="1974"/>
      <c r="G19" s="1974"/>
      <c r="H19" s="1974"/>
      <c r="I19" s="1974"/>
      <c r="J19" s="1974"/>
      <c r="K19" s="1974"/>
      <c r="L19" s="1974"/>
      <c r="M19" s="1974"/>
    </row>
    <row r="20" spans="2:15" ht="13.15" customHeight="1" x14ac:dyDescent="0.2">
      <c r="B20" s="1975" t="s">
        <v>2190</v>
      </c>
      <c r="C20" s="1980">
        <v>84.01</v>
      </c>
      <c r="D20" s="1979" t="s">
        <v>2189</v>
      </c>
      <c r="E20" s="1987">
        <v>3047632</v>
      </c>
      <c r="F20" s="1987">
        <v>283558</v>
      </c>
      <c r="G20" s="1987">
        <v>3047632</v>
      </c>
      <c r="H20" s="1974"/>
      <c r="I20" s="1987">
        <v>283558</v>
      </c>
      <c r="J20" s="1974"/>
      <c r="K20" s="1987">
        <v>0</v>
      </c>
      <c r="L20" s="1248">
        <v>3331190</v>
      </c>
      <c r="M20" s="1987">
        <v>4155693</v>
      </c>
      <c r="O20" s="2010">
        <f>+L20-F20-E20</f>
        <v>0</v>
      </c>
    </row>
    <row r="21" spans="2:15" ht="13.15" customHeight="1" x14ac:dyDescent="0.2">
      <c r="B21" s="1975" t="s">
        <v>2188</v>
      </c>
      <c r="C21" s="1980">
        <v>84.01</v>
      </c>
      <c r="D21" s="1979" t="s">
        <v>2187</v>
      </c>
      <c r="E21" s="1987">
        <v>0</v>
      </c>
      <c r="F21" s="1987">
        <v>2876368</v>
      </c>
      <c r="G21" s="1987">
        <v>0</v>
      </c>
      <c r="H21" s="1974"/>
      <c r="I21" s="1987">
        <v>2646036</v>
      </c>
      <c r="J21" s="1974"/>
      <c r="K21" s="1987">
        <v>15220</v>
      </c>
      <c r="L21" s="1248">
        <v>2661256</v>
      </c>
      <c r="M21" s="1987">
        <v>4542408</v>
      </c>
      <c r="O21" s="2010">
        <f t="shared" ref="O21:O80" si="0">+L21-F21-E21</f>
        <v>-215112</v>
      </c>
    </row>
    <row r="22" spans="2:15" ht="22.5" x14ac:dyDescent="0.2">
      <c r="B22" s="1973" t="s">
        <v>2186</v>
      </c>
      <c r="C22" s="1984"/>
      <c r="D22" s="1983"/>
      <c r="E22" s="1976">
        <f>SUM(E20:E21)</f>
        <v>3047632</v>
      </c>
      <c r="F22" s="1976">
        <f>SUM(F20:F21)</f>
        <v>3159926</v>
      </c>
      <c r="G22" s="1976">
        <f>SUM(G20:G21)</f>
        <v>3047632</v>
      </c>
      <c r="H22" s="1976"/>
      <c r="I22" s="1976">
        <f>SUM(I20:I21)</f>
        <v>2929594</v>
      </c>
      <c r="J22" s="1976"/>
      <c r="K22" s="1976">
        <f>SUM(K20:K21)</f>
        <v>15220</v>
      </c>
      <c r="L22" s="1976">
        <f>SUM(L20:L21)</f>
        <v>5992446</v>
      </c>
      <c r="M22" s="1976">
        <f>SUM(M20:M21)</f>
        <v>8698101</v>
      </c>
      <c r="O22" s="2010">
        <f t="shared" si="0"/>
        <v>-215112</v>
      </c>
    </row>
    <row r="23" spans="2:15" ht="13.15" customHeight="1" x14ac:dyDescent="0.2">
      <c r="B23" s="1975"/>
      <c r="C23" s="1980"/>
      <c r="D23" s="1979"/>
      <c r="E23" s="1974"/>
      <c r="F23" s="1974"/>
      <c r="G23" s="1974"/>
      <c r="H23" s="1974"/>
      <c r="I23" s="1974"/>
      <c r="J23" s="1974"/>
      <c r="K23" s="1974"/>
      <c r="L23" s="1974"/>
      <c r="M23" s="1974"/>
      <c r="O23" s="2010">
        <f t="shared" si="0"/>
        <v>0</v>
      </c>
    </row>
    <row r="24" spans="2:15" ht="13.15" customHeight="1" x14ac:dyDescent="0.2">
      <c r="B24" s="1973" t="s">
        <v>2185</v>
      </c>
      <c r="C24" s="1980"/>
      <c r="D24" s="1979"/>
      <c r="E24" s="1974"/>
      <c r="F24" s="1974"/>
      <c r="G24" s="1974"/>
      <c r="H24" s="1974"/>
      <c r="I24" s="1974"/>
      <c r="J24" s="1974"/>
      <c r="K24" s="1974"/>
      <c r="L24" s="1974"/>
      <c r="M24" s="1974"/>
      <c r="O24" s="2010">
        <f t="shared" si="0"/>
        <v>0</v>
      </c>
    </row>
    <row r="25" spans="2:15" ht="13.15" customHeight="1" x14ac:dyDescent="0.2">
      <c r="B25" s="1973" t="s">
        <v>2184</v>
      </c>
      <c r="C25" s="1980"/>
      <c r="D25" s="1979"/>
      <c r="E25" s="1974"/>
      <c r="F25" s="1974"/>
      <c r="G25" s="1974"/>
      <c r="H25" s="1974"/>
      <c r="I25" s="1974"/>
      <c r="J25" s="1974"/>
      <c r="K25" s="1974"/>
      <c r="L25" s="1974"/>
      <c r="M25" s="1974"/>
      <c r="O25" s="2010">
        <f t="shared" si="0"/>
        <v>0</v>
      </c>
    </row>
    <row r="26" spans="2:15" x14ac:dyDescent="0.2">
      <c r="B26" s="1975" t="s">
        <v>2263</v>
      </c>
      <c r="C26" s="1980">
        <v>84.173000000000002</v>
      </c>
      <c r="D26" s="1979" t="s">
        <v>2183</v>
      </c>
      <c r="E26" s="1987">
        <v>104925</v>
      </c>
      <c r="F26" s="1987">
        <v>231</v>
      </c>
      <c r="G26" s="1987">
        <v>104925</v>
      </c>
      <c r="H26" s="1974"/>
      <c r="I26" s="1987">
        <v>231</v>
      </c>
      <c r="J26" s="1974"/>
      <c r="K26" s="1987">
        <v>0</v>
      </c>
      <c r="L26" s="1974">
        <v>105156</v>
      </c>
      <c r="M26" s="1974">
        <v>109838</v>
      </c>
      <c r="O26" s="2010">
        <f t="shared" si="0"/>
        <v>0</v>
      </c>
    </row>
    <row r="27" spans="2:15" x14ac:dyDescent="0.2">
      <c r="B27" s="1975" t="s">
        <v>2264</v>
      </c>
      <c r="C27" s="1980">
        <v>84.173000000000002</v>
      </c>
      <c r="D27" s="1979" t="s">
        <v>2182</v>
      </c>
      <c r="E27" s="1987">
        <v>0</v>
      </c>
      <c r="F27" s="1987">
        <v>100542</v>
      </c>
      <c r="G27" s="1987">
        <v>0</v>
      </c>
      <c r="H27" s="1974"/>
      <c r="I27" s="1987">
        <v>92878</v>
      </c>
      <c r="J27" s="1974"/>
      <c r="K27" s="1987">
        <v>13147</v>
      </c>
      <c r="L27" s="1974">
        <v>106025</v>
      </c>
      <c r="M27" s="1974">
        <v>106025</v>
      </c>
      <c r="O27" s="2010">
        <f t="shared" si="0"/>
        <v>5483</v>
      </c>
    </row>
    <row r="28" spans="2:15" ht="24.6" customHeight="1" x14ac:dyDescent="0.2">
      <c r="B28" s="1973" t="s">
        <v>2181</v>
      </c>
      <c r="C28" s="1984"/>
      <c r="D28" s="1983"/>
      <c r="E28" s="1976">
        <f>SUM(E26:E27)</f>
        <v>104925</v>
      </c>
      <c r="F28" s="1976">
        <f>SUM(F26:F27)</f>
        <v>100773</v>
      </c>
      <c r="G28" s="1976">
        <f>SUM(G26:G27)</f>
        <v>104925</v>
      </c>
      <c r="H28" s="1976"/>
      <c r="I28" s="1976">
        <f>SUM(I26:I27)</f>
        <v>93109</v>
      </c>
      <c r="J28" s="1976"/>
      <c r="K28" s="1976">
        <f>SUM(K26:K27)</f>
        <v>13147</v>
      </c>
      <c r="L28" s="1976">
        <f>SUM(L26:L27)</f>
        <v>211181</v>
      </c>
      <c r="M28" s="1976">
        <f>SUM(M26:M27)</f>
        <v>215863</v>
      </c>
      <c r="O28" s="2010">
        <f t="shared" si="0"/>
        <v>5483</v>
      </c>
    </row>
    <row r="29" spans="2:15" ht="13.15" customHeight="1" x14ac:dyDescent="0.2">
      <c r="B29" s="1973"/>
      <c r="C29" s="1984"/>
      <c r="D29" s="1983"/>
      <c r="E29" s="1974"/>
      <c r="F29" s="1974"/>
      <c r="G29" s="1974"/>
      <c r="H29" s="1974"/>
      <c r="I29" s="1974"/>
      <c r="J29" s="1974"/>
      <c r="K29" s="1974"/>
      <c r="L29" s="1974"/>
      <c r="M29" s="1974"/>
      <c r="O29" s="2010">
        <f t="shared" si="0"/>
        <v>0</v>
      </c>
    </row>
    <row r="30" spans="2:15" ht="13.15" customHeight="1" x14ac:dyDescent="0.2">
      <c r="B30" s="1973" t="s">
        <v>2180</v>
      </c>
      <c r="C30" s="1980"/>
      <c r="D30" s="1979"/>
      <c r="E30" s="1974"/>
      <c r="F30" s="1974"/>
      <c r="G30" s="1974"/>
      <c r="H30" s="1974"/>
      <c r="I30" s="1974"/>
      <c r="J30" s="1974"/>
      <c r="K30" s="1974"/>
      <c r="L30" s="1974"/>
      <c r="M30" s="1974"/>
      <c r="O30" s="2010">
        <f t="shared" si="0"/>
        <v>0</v>
      </c>
    </row>
    <row r="31" spans="2:15" ht="13.15" customHeight="1" x14ac:dyDescent="0.2">
      <c r="B31" s="1975" t="s">
        <v>2265</v>
      </c>
      <c r="C31" s="1980">
        <v>84.027000000000001</v>
      </c>
      <c r="D31" s="1979" t="s">
        <v>2179</v>
      </c>
      <c r="E31" s="1987">
        <v>2399807</v>
      </c>
      <c r="F31" s="1987">
        <v>31077</v>
      </c>
      <c r="G31" s="1987">
        <v>2399807</v>
      </c>
      <c r="H31" s="1974"/>
      <c r="I31" s="1987">
        <v>31077</v>
      </c>
      <c r="J31" s="1974"/>
      <c r="K31" s="1974">
        <v>0</v>
      </c>
      <c r="L31" s="1248">
        <v>2430884</v>
      </c>
      <c r="M31" s="1974">
        <v>2433467</v>
      </c>
      <c r="O31" s="2010">
        <f t="shared" si="0"/>
        <v>0</v>
      </c>
    </row>
    <row r="32" spans="2:15" ht="13.15" customHeight="1" x14ac:dyDescent="0.2">
      <c r="B32" s="1975" t="s">
        <v>2266</v>
      </c>
      <c r="C32" s="1980">
        <v>84.027000000000001</v>
      </c>
      <c r="D32" s="1979" t="s">
        <v>2178</v>
      </c>
      <c r="E32" s="1987">
        <v>0</v>
      </c>
      <c r="F32" s="1987">
        <v>2391191</v>
      </c>
      <c r="G32" s="1987">
        <v>0</v>
      </c>
      <c r="H32" s="1974"/>
      <c r="I32" s="1987">
        <v>2303628</v>
      </c>
      <c r="J32" s="1974"/>
      <c r="K32" s="1974">
        <v>39460</v>
      </c>
      <c r="L32" s="1248">
        <v>2343088</v>
      </c>
      <c r="M32" s="1974">
        <v>2918158</v>
      </c>
      <c r="O32" s="2010">
        <f t="shared" si="0"/>
        <v>-48103</v>
      </c>
    </row>
    <row r="33" spans="2:15" ht="13.15" customHeight="1" x14ac:dyDescent="0.2">
      <c r="B33" s="1975" t="s">
        <v>2267</v>
      </c>
      <c r="C33" s="1980">
        <v>84.027000000000001</v>
      </c>
      <c r="D33" s="1979" t="s">
        <v>2177</v>
      </c>
      <c r="E33" s="1987">
        <v>355633</v>
      </c>
      <c r="F33" s="1987">
        <v>163470</v>
      </c>
      <c r="G33" s="1987">
        <v>355633</v>
      </c>
      <c r="H33" s="1974"/>
      <c r="I33" s="1987">
        <v>163470</v>
      </c>
      <c r="J33" s="1974"/>
      <c r="K33" s="1974">
        <v>0</v>
      </c>
      <c r="L33" s="1990">
        <v>519103</v>
      </c>
      <c r="M33" s="1974" t="s">
        <v>2108</v>
      </c>
      <c r="O33" s="2010">
        <f t="shared" si="0"/>
        <v>0</v>
      </c>
    </row>
    <row r="34" spans="2:15" ht="13.15" customHeight="1" x14ac:dyDescent="0.2">
      <c r="B34" s="1975" t="s">
        <v>2268</v>
      </c>
      <c r="C34" s="1980">
        <v>84.027000000000001</v>
      </c>
      <c r="D34" s="1979" t="s">
        <v>2176</v>
      </c>
      <c r="E34" s="1987">
        <v>0</v>
      </c>
      <c r="F34" s="1987">
        <v>403430</v>
      </c>
      <c r="G34" s="1987">
        <v>0</v>
      </c>
      <c r="H34" s="1974"/>
      <c r="I34" s="1987">
        <v>403430</v>
      </c>
      <c r="J34" s="1974"/>
      <c r="K34" s="1974">
        <v>0</v>
      </c>
      <c r="L34" s="1990">
        <v>403430</v>
      </c>
      <c r="M34" s="1974" t="s">
        <v>2108</v>
      </c>
      <c r="O34" s="2010">
        <f t="shared" si="0"/>
        <v>0</v>
      </c>
    </row>
    <row r="35" spans="2:15" ht="25.9" customHeight="1" x14ac:dyDescent="0.2">
      <c r="B35" s="1973" t="s">
        <v>2175</v>
      </c>
      <c r="C35" s="1984"/>
      <c r="D35" s="1983"/>
      <c r="E35" s="1976">
        <f>SUM(E31:E34)</f>
        <v>2755440</v>
      </c>
      <c r="F35" s="1976">
        <f>SUM(F31:F34)</f>
        <v>2989168</v>
      </c>
      <c r="G35" s="1976">
        <f>SUM(G31:G34)</f>
        <v>2755440</v>
      </c>
      <c r="H35" s="1976"/>
      <c r="I35" s="1976">
        <f>SUM(I31:I34)</f>
        <v>2901605</v>
      </c>
      <c r="J35" s="1976"/>
      <c r="K35" s="1976">
        <f>SUM(K31:K34)</f>
        <v>39460</v>
      </c>
      <c r="L35" s="1976">
        <f>SUM(L31:L34)</f>
        <v>5696505</v>
      </c>
      <c r="M35" s="1976">
        <f>SUM(M31:M34)</f>
        <v>5351625</v>
      </c>
      <c r="O35" s="2010">
        <f t="shared" si="0"/>
        <v>-48103</v>
      </c>
    </row>
    <row r="36" spans="2:15" ht="13.15" customHeight="1" x14ac:dyDescent="0.2">
      <c r="B36" s="1975"/>
      <c r="C36" s="1980"/>
      <c r="D36" s="1979"/>
      <c r="E36" s="1974"/>
      <c r="F36" s="1974"/>
      <c r="G36" s="1974"/>
      <c r="H36" s="1974"/>
      <c r="I36" s="1974"/>
      <c r="J36" s="1974"/>
      <c r="K36" s="1974"/>
      <c r="L36" s="1974"/>
      <c r="M36" s="1974"/>
      <c r="O36" s="2010">
        <f t="shared" si="0"/>
        <v>0</v>
      </c>
    </row>
    <row r="37" spans="2:15" ht="13.15" customHeight="1" x14ac:dyDescent="0.2">
      <c r="B37" s="1973" t="s">
        <v>2174</v>
      </c>
      <c r="C37" s="1984"/>
      <c r="D37" s="1983"/>
      <c r="E37" s="1976">
        <f>SUM(E28,E35)</f>
        <v>2860365</v>
      </c>
      <c r="F37" s="1976">
        <f>SUM(F28,F35)</f>
        <v>3089941</v>
      </c>
      <c r="G37" s="1976">
        <f>SUM(G28,G35)</f>
        <v>2860365</v>
      </c>
      <c r="H37" s="1976"/>
      <c r="I37" s="1976">
        <f>SUM(I28,I35)</f>
        <v>2994714</v>
      </c>
      <c r="J37" s="1976"/>
      <c r="K37" s="1976">
        <f>SUM(K28,K35)</f>
        <v>52607</v>
      </c>
      <c r="L37" s="1976">
        <f>SUM(L28,L35)</f>
        <v>5907686</v>
      </c>
      <c r="M37" s="1976">
        <f>SUM(M28,M35)</f>
        <v>5567488</v>
      </c>
      <c r="O37" s="2010">
        <f t="shared" si="0"/>
        <v>-42620</v>
      </c>
    </row>
    <row r="38" spans="2:15" ht="13.15" customHeight="1" x14ac:dyDescent="0.2">
      <c r="B38" s="1975"/>
      <c r="C38" s="1980"/>
      <c r="D38" s="1979"/>
      <c r="E38" s="1974"/>
      <c r="F38" s="1974"/>
      <c r="G38" s="1974"/>
      <c r="H38" s="1974"/>
      <c r="I38" s="1974"/>
      <c r="J38" s="1974"/>
      <c r="K38" s="1974"/>
      <c r="L38" s="1974"/>
      <c r="M38" s="1974"/>
      <c r="O38" s="2010">
        <f t="shared" si="0"/>
        <v>0</v>
      </c>
    </row>
    <row r="39" spans="2:15" ht="13.15" customHeight="1" x14ac:dyDescent="0.2">
      <c r="B39" s="1973" t="s">
        <v>2173</v>
      </c>
      <c r="C39" s="1980"/>
      <c r="D39" s="1979"/>
      <c r="E39" s="1974"/>
      <c r="F39" s="1974"/>
      <c r="G39" s="1974"/>
      <c r="H39" s="1974"/>
      <c r="I39" s="1974"/>
      <c r="J39" s="1974"/>
      <c r="K39" s="1974"/>
      <c r="L39" s="1974"/>
      <c r="M39" s="1974"/>
      <c r="O39" s="2010">
        <f t="shared" si="0"/>
        <v>0</v>
      </c>
    </row>
    <row r="40" spans="2:15" ht="13.15" customHeight="1" x14ac:dyDescent="0.2">
      <c r="B40" s="1975" t="s">
        <v>2172</v>
      </c>
      <c r="C40" s="1980">
        <v>84.364999999999995</v>
      </c>
      <c r="D40" s="1979" t="s">
        <v>2171</v>
      </c>
      <c r="E40" s="1987">
        <v>23672</v>
      </c>
      <c r="F40" s="1974">
        <v>20564</v>
      </c>
      <c r="G40" s="1974">
        <v>23672</v>
      </c>
      <c r="H40" s="1974"/>
      <c r="I40" s="1974">
        <v>20564</v>
      </c>
      <c r="J40" s="1974"/>
      <c r="K40" s="1987">
        <v>0</v>
      </c>
      <c r="L40" s="1248">
        <v>44236</v>
      </c>
      <c r="M40" s="1974">
        <v>44236</v>
      </c>
      <c r="O40" s="2010">
        <f t="shared" si="0"/>
        <v>0</v>
      </c>
    </row>
    <row r="41" spans="2:15" ht="13.15" customHeight="1" x14ac:dyDescent="0.2">
      <c r="B41" s="1975" t="s">
        <v>2170</v>
      </c>
      <c r="C41" s="1980">
        <v>84.364999999999995</v>
      </c>
      <c r="D41" s="1979" t="s">
        <v>2169</v>
      </c>
      <c r="E41" s="1987">
        <v>0</v>
      </c>
      <c r="F41" s="1974">
        <v>13208</v>
      </c>
      <c r="G41" s="1974">
        <v>0</v>
      </c>
      <c r="H41" s="1974"/>
      <c r="I41" s="1974">
        <v>13208</v>
      </c>
      <c r="J41" s="1974"/>
      <c r="K41" s="1987">
        <v>0</v>
      </c>
      <c r="L41" s="1248">
        <v>13208</v>
      </c>
      <c r="M41" s="1974">
        <v>50244</v>
      </c>
      <c r="O41" s="2010">
        <f t="shared" si="0"/>
        <v>0</v>
      </c>
    </row>
    <row r="42" spans="2:15" ht="13.15" customHeight="1" x14ac:dyDescent="0.2">
      <c r="B42" s="1975" t="s">
        <v>2168</v>
      </c>
      <c r="C42" s="1980">
        <v>84.364999999999995</v>
      </c>
      <c r="D42" s="1979" t="s">
        <v>2167</v>
      </c>
      <c r="E42" s="1987">
        <v>87587</v>
      </c>
      <c r="F42" s="1974">
        <v>17727</v>
      </c>
      <c r="G42" s="1974">
        <v>87587</v>
      </c>
      <c r="H42" s="1974"/>
      <c r="I42" s="1974">
        <v>17727</v>
      </c>
      <c r="J42" s="1974"/>
      <c r="K42" s="1987">
        <v>0</v>
      </c>
      <c r="L42" s="1248">
        <v>105314</v>
      </c>
      <c r="M42" s="1974">
        <v>120516</v>
      </c>
      <c r="O42" s="2010">
        <f t="shared" si="0"/>
        <v>0</v>
      </c>
    </row>
    <row r="43" spans="2:15" ht="13.15" customHeight="1" x14ac:dyDescent="0.2">
      <c r="B43" s="1975" t="s">
        <v>2166</v>
      </c>
      <c r="C43" s="1980">
        <v>84.364999999999995</v>
      </c>
      <c r="D43" s="1979" t="s">
        <v>2165</v>
      </c>
      <c r="E43" s="1987">
        <v>0</v>
      </c>
      <c r="F43" s="1974">
        <v>66854</v>
      </c>
      <c r="G43" s="1974">
        <v>0</v>
      </c>
      <c r="H43" s="1974"/>
      <c r="I43" s="1974">
        <v>63265</v>
      </c>
      <c r="J43" s="1974"/>
      <c r="K43" s="1987">
        <v>71</v>
      </c>
      <c r="L43" s="1248">
        <v>63336</v>
      </c>
      <c r="M43" s="1974">
        <v>117916</v>
      </c>
      <c r="O43" s="2010">
        <f t="shared" si="0"/>
        <v>-3518</v>
      </c>
    </row>
    <row r="44" spans="2:15" ht="13.15" customHeight="1" x14ac:dyDescent="0.2">
      <c r="B44" s="1975" t="s">
        <v>2164</v>
      </c>
      <c r="C44" s="1980">
        <v>84.364999999999995</v>
      </c>
      <c r="D44" s="1979" t="s">
        <v>2163</v>
      </c>
      <c r="E44" s="1987">
        <v>0</v>
      </c>
      <c r="F44" s="1974">
        <v>0</v>
      </c>
      <c r="G44" s="1974">
        <v>0</v>
      </c>
      <c r="H44" s="1974"/>
      <c r="I44" s="1974">
        <v>0</v>
      </c>
      <c r="J44" s="1974"/>
      <c r="K44" s="1987">
        <v>0</v>
      </c>
      <c r="L44" s="1248">
        <v>0</v>
      </c>
      <c r="M44" s="1974">
        <v>0</v>
      </c>
      <c r="O44" s="2010">
        <f t="shared" si="0"/>
        <v>0</v>
      </c>
    </row>
    <row r="45" spans="2:15" ht="22.5" x14ac:dyDescent="0.2">
      <c r="B45" s="1973" t="s">
        <v>2162</v>
      </c>
      <c r="C45" s="1984"/>
      <c r="D45" s="1983"/>
      <c r="E45" s="1976">
        <f>SUM(E40:E44)</f>
        <v>111259</v>
      </c>
      <c r="F45" s="1976">
        <f>SUM(F40:F44)</f>
        <v>118353</v>
      </c>
      <c r="G45" s="1976">
        <f>SUM(G40:G44)</f>
        <v>111259</v>
      </c>
      <c r="H45" s="1976"/>
      <c r="I45" s="1976">
        <f>SUM(I40:I44)</f>
        <v>114764</v>
      </c>
      <c r="J45" s="1976"/>
      <c r="K45" s="1976">
        <f>SUM(K40:K44)</f>
        <v>71</v>
      </c>
      <c r="L45" s="1976">
        <f>SUM(L40:L44)</f>
        <v>226094</v>
      </c>
      <c r="M45" s="1976">
        <f>SUM(M40:M44)</f>
        <v>332912</v>
      </c>
      <c r="O45" s="2010">
        <f t="shared" si="0"/>
        <v>-3518</v>
      </c>
    </row>
    <row r="46" spans="2:15" ht="13.15" customHeight="1" x14ac:dyDescent="0.2">
      <c r="B46" s="1975"/>
      <c r="C46" s="1980"/>
      <c r="D46" s="1979"/>
      <c r="E46" s="1974"/>
      <c r="F46" s="1974"/>
      <c r="G46" s="1974"/>
      <c r="H46" s="1974"/>
      <c r="I46" s="1974"/>
      <c r="J46" s="1974"/>
      <c r="K46" s="1974"/>
      <c r="L46" s="1974"/>
      <c r="M46" s="1974"/>
      <c r="O46" s="2010">
        <f t="shared" si="0"/>
        <v>0</v>
      </c>
    </row>
    <row r="47" spans="2:15" ht="13.15" customHeight="1" x14ac:dyDescent="0.2">
      <c r="B47" s="1973" t="s">
        <v>2161</v>
      </c>
      <c r="C47" s="1980"/>
      <c r="D47" s="1979"/>
      <c r="E47" s="1974"/>
      <c r="F47" s="1974"/>
      <c r="G47" s="1974"/>
      <c r="H47" s="1974"/>
      <c r="I47" s="1974"/>
      <c r="J47" s="1974"/>
      <c r="K47" s="1974"/>
      <c r="L47" s="1974"/>
      <c r="M47" s="1974"/>
      <c r="O47" s="2010">
        <f t="shared" si="0"/>
        <v>0</v>
      </c>
    </row>
    <row r="48" spans="2:15" ht="13.15" customHeight="1" x14ac:dyDescent="0.2">
      <c r="B48" s="1975" t="s">
        <v>2160</v>
      </c>
      <c r="C48" s="1980">
        <v>84.367000000000004</v>
      </c>
      <c r="D48" s="1979" t="s">
        <v>2159</v>
      </c>
      <c r="E48" s="1974">
        <v>324601</v>
      </c>
      <c r="F48" s="1974">
        <v>21105</v>
      </c>
      <c r="G48" s="1974">
        <v>324601</v>
      </c>
      <c r="H48" s="1974"/>
      <c r="I48" s="1974">
        <v>21105</v>
      </c>
      <c r="J48" s="1974"/>
      <c r="K48" s="1974">
        <v>0</v>
      </c>
      <c r="L48" s="1974">
        <v>345706</v>
      </c>
      <c r="M48" s="1974">
        <v>559093</v>
      </c>
      <c r="O48" s="2010">
        <f t="shared" si="0"/>
        <v>0</v>
      </c>
    </row>
    <row r="49" spans="2:15" ht="13.15" customHeight="1" x14ac:dyDescent="0.2">
      <c r="B49" s="1975" t="s">
        <v>2158</v>
      </c>
      <c r="C49" s="1980">
        <v>84.367000000000004</v>
      </c>
      <c r="D49" s="1979" t="s">
        <v>2157</v>
      </c>
      <c r="E49" s="1974">
        <v>0</v>
      </c>
      <c r="F49" s="1974">
        <v>351769</v>
      </c>
      <c r="G49" s="1974">
        <v>0</v>
      </c>
      <c r="H49" s="1974"/>
      <c r="I49" s="1974">
        <v>331436</v>
      </c>
      <c r="J49" s="1974"/>
      <c r="K49" s="1974">
        <v>15028</v>
      </c>
      <c r="L49" s="1974">
        <v>346464</v>
      </c>
      <c r="M49" s="1974">
        <v>711605</v>
      </c>
      <c r="O49" s="2010">
        <f t="shared" si="0"/>
        <v>-5305</v>
      </c>
    </row>
    <row r="50" spans="2:15" ht="28.9" customHeight="1" x14ac:dyDescent="0.2">
      <c r="B50" s="1973" t="s">
        <v>2156</v>
      </c>
      <c r="C50" s="1984"/>
      <c r="D50" s="1983"/>
      <c r="E50" s="1976">
        <f>SUM(E48:E49)</f>
        <v>324601</v>
      </c>
      <c r="F50" s="1976">
        <f>SUM(F48:F49)</f>
        <v>372874</v>
      </c>
      <c r="G50" s="1976">
        <f>SUM(G48:G49)</f>
        <v>324601</v>
      </c>
      <c r="H50" s="1976"/>
      <c r="I50" s="1976">
        <f>SUM(I48:I49)</f>
        <v>352541</v>
      </c>
      <c r="J50" s="1976"/>
      <c r="K50" s="1976">
        <f>SUM(K48:K49)</f>
        <v>15028</v>
      </c>
      <c r="L50" s="1976">
        <f>SUM(L48:L49)</f>
        <v>692170</v>
      </c>
      <c r="M50" s="1976">
        <f>SUM(M48:M49)</f>
        <v>1270698</v>
      </c>
      <c r="O50" s="2010">
        <f t="shared" si="0"/>
        <v>-5305</v>
      </c>
    </row>
    <row r="51" spans="2:15" ht="13.15" customHeight="1" x14ac:dyDescent="0.2">
      <c r="B51" s="1975"/>
      <c r="C51" s="1980"/>
      <c r="D51" s="1979"/>
      <c r="E51" s="1974"/>
      <c r="F51" s="1974"/>
      <c r="G51" s="1974"/>
      <c r="H51" s="1974"/>
      <c r="I51" s="1974"/>
      <c r="J51" s="1974"/>
      <c r="K51" s="1974"/>
      <c r="L51" s="1974"/>
      <c r="M51" s="1974"/>
      <c r="O51" s="2010">
        <f t="shared" si="0"/>
        <v>0</v>
      </c>
    </row>
    <row r="52" spans="2:15" ht="30" customHeight="1" x14ac:dyDescent="0.2">
      <c r="B52" s="1973" t="s">
        <v>2151</v>
      </c>
      <c r="C52" s="1986"/>
      <c r="D52" s="1985"/>
      <c r="E52" s="1974"/>
      <c r="F52" s="1974"/>
      <c r="G52" s="1974"/>
      <c r="H52" s="1974"/>
      <c r="I52" s="1974"/>
      <c r="J52" s="1974"/>
      <c r="K52" s="1974"/>
      <c r="L52" s="1974"/>
      <c r="M52" s="1974"/>
      <c r="O52" s="2010">
        <f t="shared" si="0"/>
        <v>0</v>
      </c>
    </row>
    <row r="53" spans="2:15" ht="13.15" customHeight="1" x14ac:dyDescent="0.2">
      <c r="B53" s="1973" t="s">
        <v>2150</v>
      </c>
      <c r="C53" s="1984"/>
      <c r="D53" s="1983"/>
      <c r="E53" s="1974"/>
      <c r="F53" s="1974"/>
      <c r="G53" s="1974"/>
      <c r="H53" s="1974"/>
      <c r="I53" s="1974"/>
      <c r="J53" s="1974"/>
      <c r="K53" s="1974"/>
      <c r="L53" s="1974"/>
      <c r="M53" s="1974"/>
      <c r="O53" s="2010">
        <f t="shared" si="0"/>
        <v>0</v>
      </c>
    </row>
    <row r="54" spans="2:15" ht="13.15" customHeight="1" x14ac:dyDescent="0.2">
      <c r="B54" s="1975" t="s">
        <v>2149</v>
      </c>
      <c r="C54" s="1980">
        <v>10.558</v>
      </c>
      <c r="D54" s="1979" t="s">
        <v>2148</v>
      </c>
      <c r="E54" s="1974">
        <v>23264</v>
      </c>
      <c r="F54" s="1974">
        <v>3947</v>
      </c>
      <c r="G54" s="1974">
        <v>23264</v>
      </c>
      <c r="H54" s="1974"/>
      <c r="I54" s="1974">
        <v>3947</v>
      </c>
      <c r="J54" s="1974"/>
      <c r="K54" s="1974">
        <v>0</v>
      </c>
      <c r="L54" s="1990">
        <v>27211</v>
      </c>
      <c r="M54" s="1990" t="s">
        <v>2108</v>
      </c>
      <c r="O54" s="2010">
        <f t="shared" si="0"/>
        <v>0</v>
      </c>
    </row>
    <row r="55" spans="2:15" ht="13.15" customHeight="1" x14ac:dyDescent="0.2">
      <c r="B55" s="1975" t="s">
        <v>2147</v>
      </c>
      <c r="C55" s="1980">
        <v>10.558</v>
      </c>
      <c r="D55" s="1979" t="s">
        <v>2146</v>
      </c>
      <c r="E55" s="1974">
        <v>0</v>
      </c>
      <c r="F55" s="1974">
        <v>25967</v>
      </c>
      <c r="G55" s="1974">
        <v>0</v>
      </c>
      <c r="H55" s="1974"/>
      <c r="I55" s="1974">
        <v>25967</v>
      </c>
      <c r="J55" s="1974"/>
      <c r="K55" s="1974">
        <v>0</v>
      </c>
      <c r="L55" s="1990">
        <v>25967</v>
      </c>
      <c r="M55" s="1990" t="s">
        <v>2108</v>
      </c>
      <c r="O55" s="2010">
        <f t="shared" si="0"/>
        <v>0</v>
      </c>
    </row>
    <row r="56" spans="2:15" ht="31.9" customHeight="1" x14ac:dyDescent="0.2">
      <c r="B56" s="1973" t="s">
        <v>2145</v>
      </c>
      <c r="C56" s="1984"/>
      <c r="D56" s="1983"/>
      <c r="E56" s="1976">
        <f>SUM(E54:E55)</f>
        <v>23264</v>
      </c>
      <c r="F56" s="1976">
        <f>SUM(F54:F55)</f>
        <v>29914</v>
      </c>
      <c r="G56" s="1976">
        <f>SUM(G54:G55)</f>
        <v>23264</v>
      </c>
      <c r="H56" s="1976"/>
      <c r="I56" s="1976">
        <f>SUM(I54:I55)</f>
        <v>29914</v>
      </c>
      <c r="J56" s="1976"/>
      <c r="K56" s="1976">
        <f>SUM(K54:K55)</f>
        <v>0</v>
      </c>
      <c r="L56" s="1976">
        <f>SUM(L54:L55)</f>
        <v>53178</v>
      </c>
      <c r="M56" s="1976" t="s">
        <v>2108</v>
      </c>
      <c r="O56" s="2010">
        <f t="shared" si="0"/>
        <v>0</v>
      </c>
    </row>
    <row r="57" spans="2:15" ht="13.15" customHeight="1" x14ac:dyDescent="0.2">
      <c r="B57" s="1973"/>
      <c r="C57" s="1989"/>
      <c r="D57" s="1988"/>
      <c r="E57" s="1974"/>
      <c r="F57" s="1974"/>
      <c r="G57" s="1974"/>
      <c r="H57" s="1974"/>
      <c r="I57" s="1974"/>
      <c r="J57" s="1974"/>
      <c r="K57" s="1974"/>
      <c r="L57" s="1974"/>
      <c r="M57" s="1974"/>
      <c r="O57" s="2010">
        <f t="shared" si="0"/>
        <v>0</v>
      </c>
    </row>
    <row r="58" spans="2:15" ht="32.450000000000003" customHeight="1" x14ac:dyDescent="0.2">
      <c r="B58" s="1973" t="s">
        <v>2144</v>
      </c>
      <c r="C58" s="1984"/>
      <c r="D58" s="1983"/>
      <c r="E58" s="1974"/>
      <c r="F58" s="1974"/>
      <c r="G58" s="1974"/>
      <c r="H58" s="1974"/>
      <c r="I58" s="1974"/>
      <c r="J58" s="1974"/>
      <c r="K58" s="1974"/>
      <c r="L58" s="1974"/>
      <c r="M58" s="1974"/>
      <c r="O58" s="2010">
        <f t="shared" si="0"/>
        <v>0</v>
      </c>
    </row>
    <row r="59" spans="2:15" ht="20.45" customHeight="1" x14ac:dyDescent="0.2">
      <c r="B59" s="1975" t="s">
        <v>2143</v>
      </c>
      <c r="C59" s="1980">
        <v>10.579000000000001</v>
      </c>
      <c r="D59" s="1979" t="s">
        <v>2142</v>
      </c>
      <c r="E59" s="1974">
        <v>0</v>
      </c>
      <c r="F59" s="1974">
        <v>49495</v>
      </c>
      <c r="G59" s="1974">
        <v>0</v>
      </c>
      <c r="H59" s="1974"/>
      <c r="I59" s="1974">
        <v>49495</v>
      </c>
      <c r="J59" s="1974"/>
      <c r="K59" s="1974">
        <v>0</v>
      </c>
      <c r="L59" s="1974">
        <v>49495</v>
      </c>
      <c r="M59" s="1974" t="s">
        <v>2108</v>
      </c>
      <c r="O59" s="2010">
        <f t="shared" si="0"/>
        <v>0</v>
      </c>
    </row>
    <row r="60" spans="2:15" ht="23.45" customHeight="1" x14ac:dyDescent="0.2">
      <c r="B60" s="1973" t="str">
        <f>CONCATENATE("   Subtotal - 10.579 - ",UPPER("Child Nutrition Discretionary Grants Limited Availability"))</f>
        <v xml:space="preserve">   Subtotal - 10.579 - CHILD NUTRITION DISCRETIONARY GRANTS LIMITED AVAILABILITY</v>
      </c>
      <c r="C60" s="1984"/>
      <c r="D60" s="1983"/>
      <c r="E60" s="1976">
        <f>E59</f>
        <v>0</v>
      </c>
      <c r="F60" s="1976">
        <f>F59</f>
        <v>49495</v>
      </c>
      <c r="G60" s="1976">
        <f>G59</f>
        <v>0</v>
      </c>
      <c r="H60" s="1976"/>
      <c r="I60" s="1976">
        <f>I59</f>
        <v>49495</v>
      </c>
      <c r="J60" s="1976"/>
      <c r="K60" s="1976">
        <f>K59</f>
        <v>0</v>
      </c>
      <c r="L60" s="1976">
        <f>L59</f>
        <v>49495</v>
      </c>
      <c r="M60" s="1976" t="str">
        <f>M59</f>
        <v>N/A</v>
      </c>
      <c r="O60" s="2010">
        <f t="shared" si="0"/>
        <v>0</v>
      </c>
    </row>
    <row r="61" spans="2:15" ht="13.15" customHeight="1" x14ac:dyDescent="0.2">
      <c r="B61" s="1973"/>
      <c r="C61" s="1989"/>
      <c r="D61" s="1988"/>
      <c r="E61" s="1974"/>
      <c r="F61" s="1974"/>
      <c r="G61" s="1974"/>
      <c r="H61" s="1974"/>
      <c r="I61" s="1974"/>
      <c r="J61" s="1974"/>
      <c r="K61" s="1974"/>
      <c r="L61" s="1974"/>
      <c r="M61" s="1974"/>
      <c r="O61" s="2010">
        <f t="shared" si="0"/>
        <v>0</v>
      </c>
    </row>
    <row r="62" spans="2:15" ht="13.15" customHeight="1" x14ac:dyDescent="0.2">
      <c r="B62" s="1973" t="s">
        <v>2141</v>
      </c>
      <c r="C62" s="1986"/>
      <c r="D62" s="1985"/>
      <c r="E62" s="1974"/>
      <c r="F62" s="1974"/>
      <c r="G62" s="1974"/>
      <c r="H62" s="1974"/>
      <c r="I62" s="1974"/>
      <c r="J62" s="1974"/>
      <c r="K62" s="1974"/>
      <c r="L62" s="1974"/>
      <c r="M62" s="1974"/>
      <c r="O62" s="2010">
        <f t="shared" si="0"/>
        <v>0</v>
      </c>
    </row>
    <row r="63" spans="2:15" ht="13.15" customHeight="1" x14ac:dyDescent="0.2">
      <c r="B63" s="1973" t="s">
        <v>2140</v>
      </c>
      <c r="C63" s="1980"/>
      <c r="D63" s="1979"/>
      <c r="E63" s="1974"/>
      <c r="F63" s="1974"/>
      <c r="G63" s="1974"/>
      <c r="H63" s="1974"/>
      <c r="I63" s="1974"/>
      <c r="J63" s="1974"/>
      <c r="K63" s="1974"/>
      <c r="L63" s="1974"/>
      <c r="M63" s="1974"/>
      <c r="O63" s="2010">
        <f t="shared" si="0"/>
        <v>0</v>
      </c>
    </row>
    <row r="64" spans="2:15" ht="13.15" customHeight="1" x14ac:dyDescent="0.2">
      <c r="B64" s="1975" t="s">
        <v>2269</v>
      </c>
      <c r="C64" s="1980">
        <v>10.553000000000001</v>
      </c>
      <c r="D64" s="1979" t="s">
        <v>2139</v>
      </c>
      <c r="E64" s="1974">
        <v>498400</v>
      </c>
      <c r="F64" s="1974">
        <v>118884</v>
      </c>
      <c r="G64" s="1974">
        <v>498400</v>
      </c>
      <c r="H64" s="1974"/>
      <c r="I64" s="1987">
        <v>118884</v>
      </c>
      <c r="J64" s="1974"/>
      <c r="K64" s="1974">
        <v>0</v>
      </c>
      <c r="L64" s="1974">
        <v>617284</v>
      </c>
      <c r="M64" s="1974" t="s">
        <v>2108</v>
      </c>
      <c r="O64" s="2010">
        <f t="shared" si="0"/>
        <v>0</v>
      </c>
    </row>
    <row r="65" spans="2:15" ht="13.15" customHeight="1" x14ac:dyDescent="0.2">
      <c r="B65" s="1975" t="s">
        <v>2270</v>
      </c>
      <c r="C65" s="1980">
        <v>10.553000000000001</v>
      </c>
      <c r="D65" s="1979" t="s">
        <v>2138</v>
      </c>
      <c r="E65" s="1974">
        <v>0</v>
      </c>
      <c r="F65" s="1974">
        <v>584235</v>
      </c>
      <c r="G65" s="1974">
        <v>0</v>
      </c>
      <c r="H65" s="1974"/>
      <c r="I65" s="1987">
        <v>584235</v>
      </c>
      <c r="J65" s="1974"/>
      <c r="K65" s="1974">
        <v>0</v>
      </c>
      <c r="L65" s="1974">
        <v>584235</v>
      </c>
      <c r="M65" s="1974" t="s">
        <v>2108</v>
      </c>
      <c r="O65" s="2010">
        <f t="shared" si="0"/>
        <v>0</v>
      </c>
    </row>
    <row r="66" spans="2:15" ht="20.45" customHeight="1" x14ac:dyDescent="0.2">
      <c r="B66" s="1973" t="s">
        <v>2137</v>
      </c>
      <c r="C66" s="1984"/>
      <c r="D66" s="1983"/>
      <c r="E66" s="1976">
        <f>SUM(E64:E65)</f>
        <v>498400</v>
      </c>
      <c r="F66" s="1976">
        <f>SUM(F64:F65)</f>
        <v>703119</v>
      </c>
      <c r="G66" s="1976">
        <f>SUM(G64:G65)</f>
        <v>498400</v>
      </c>
      <c r="H66" s="1976"/>
      <c r="I66" s="1976">
        <f>SUM(I64:I65)</f>
        <v>703119</v>
      </c>
      <c r="J66" s="1976"/>
      <c r="K66" s="1976">
        <f>SUM(K64:K65)</f>
        <v>0</v>
      </c>
      <c r="L66" s="1976">
        <f>SUM(L64:L65)</f>
        <v>1201519</v>
      </c>
      <c r="M66" s="1976" t="s">
        <v>2108</v>
      </c>
      <c r="O66" s="2010">
        <f t="shared" si="0"/>
        <v>0</v>
      </c>
    </row>
    <row r="67" spans="2:15" ht="13.15" customHeight="1" x14ac:dyDescent="0.2">
      <c r="B67" s="1973"/>
      <c r="C67" s="1984"/>
      <c r="D67" s="1983"/>
      <c r="E67" s="1974"/>
      <c r="F67" s="1974"/>
      <c r="G67" s="1974"/>
      <c r="H67" s="1974"/>
      <c r="I67" s="1974"/>
      <c r="J67" s="1974"/>
      <c r="K67" s="1974"/>
      <c r="L67" s="1974"/>
      <c r="M67" s="1974"/>
      <c r="O67" s="2010">
        <f t="shared" si="0"/>
        <v>0</v>
      </c>
    </row>
    <row r="68" spans="2:15" ht="13.15" customHeight="1" x14ac:dyDescent="0.2">
      <c r="B68" s="1973" t="s">
        <v>2136</v>
      </c>
      <c r="C68" s="1980"/>
      <c r="D68" s="1979"/>
      <c r="E68" s="1974"/>
      <c r="F68" s="1974"/>
      <c r="G68" s="1974"/>
      <c r="H68" s="1974"/>
      <c r="I68" s="1974"/>
      <c r="J68" s="1974"/>
      <c r="K68" s="1974"/>
      <c r="L68" s="1974"/>
      <c r="M68" s="1974"/>
      <c r="O68" s="2010">
        <f t="shared" si="0"/>
        <v>0</v>
      </c>
    </row>
    <row r="69" spans="2:15" ht="13.15" customHeight="1" x14ac:dyDescent="0.2">
      <c r="B69" s="1975" t="s">
        <v>2271</v>
      </c>
      <c r="C69" s="1980">
        <v>10.558999999999999</v>
      </c>
      <c r="D69" s="1979" t="s">
        <v>2135</v>
      </c>
      <c r="E69" s="1974">
        <v>97186</v>
      </c>
      <c r="F69" s="1974">
        <v>0</v>
      </c>
      <c r="G69" s="1974">
        <v>97186</v>
      </c>
      <c r="H69" s="1974"/>
      <c r="I69" s="1974">
        <v>0</v>
      </c>
      <c r="J69" s="1974"/>
      <c r="K69" s="1974">
        <v>0</v>
      </c>
      <c r="L69" s="1974">
        <v>97186</v>
      </c>
      <c r="M69" s="1974" t="s">
        <v>2108</v>
      </c>
      <c r="O69" s="2010">
        <f t="shared" si="0"/>
        <v>0</v>
      </c>
    </row>
    <row r="70" spans="2:15" ht="13.15" customHeight="1" x14ac:dyDescent="0.2">
      <c r="B70" s="1975" t="s">
        <v>2272</v>
      </c>
      <c r="C70" s="1980">
        <v>10.558999999999999</v>
      </c>
      <c r="D70" s="1979" t="s">
        <v>2134</v>
      </c>
      <c r="E70" s="1974">
        <v>0</v>
      </c>
      <c r="F70" s="1974">
        <v>102158</v>
      </c>
      <c r="G70" s="1974">
        <v>0</v>
      </c>
      <c r="H70" s="1974"/>
      <c r="I70" s="1974">
        <v>102158</v>
      </c>
      <c r="J70" s="1974"/>
      <c r="K70" s="1974">
        <v>0</v>
      </c>
      <c r="L70" s="1974">
        <v>102158</v>
      </c>
      <c r="M70" s="1974" t="s">
        <v>2108</v>
      </c>
      <c r="O70" s="2010">
        <f t="shared" si="0"/>
        <v>0</v>
      </c>
    </row>
    <row r="71" spans="2:15" ht="27" customHeight="1" x14ac:dyDescent="0.2">
      <c r="B71" s="1973" t="s">
        <v>2133</v>
      </c>
      <c r="C71" s="1984"/>
      <c r="D71" s="1983"/>
      <c r="E71" s="1976">
        <f>SUM(E69:E70)</f>
        <v>97186</v>
      </c>
      <c r="F71" s="1976">
        <f>SUM(F69:F70)</f>
        <v>102158</v>
      </c>
      <c r="G71" s="1976">
        <f>SUM(G69:G70)</f>
        <v>97186</v>
      </c>
      <c r="H71" s="1976"/>
      <c r="I71" s="1976">
        <f>SUM(I69:I70)</f>
        <v>102158</v>
      </c>
      <c r="J71" s="1976"/>
      <c r="K71" s="1976">
        <f>SUM(K69:K70)</f>
        <v>0</v>
      </c>
      <c r="L71" s="1976">
        <f>SUM(L69:L70)</f>
        <v>199344</v>
      </c>
      <c r="M71" s="1976" t="s">
        <v>2108</v>
      </c>
      <c r="O71" s="2010">
        <f t="shared" si="0"/>
        <v>0</v>
      </c>
    </row>
    <row r="72" spans="2:15" ht="13.15" customHeight="1" x14ac:dyDescent="0.2">
      <c r="B72" s="1973"/>
      <c r="C72" s="1986"/>
      <c r="D72" s="1985"/>
      <c r="E72" s="1974"/>
      <c r="F72" s="1974"/>
      <c r="G72" s="1974"/>
      <c r="H72" s="1974"/>
      <c r="I72" s="1974"/>
      <c r="J72" s="1974"/>
      <c r="K72" s="1974"/>
      <c r="L72" s="1974"/>
      <c r="M72" s="1974"/>
      <c r="O72" s="2010">
        <f t="shared" si="0"/>
        <v>0</v>
      </c>
    </row>
    <row r="73" spans="2:15" ht="13.15" customHeight="1" x14ac:dyDescent="0.2">
      <c r="B73" s="1973" t="s">
        <v>2132</v>
      </c>
      <c r="C73" s="1980"/>
      <c r="D73" s="1979"/>
      <c r="E73" s="1974"/>
      <c r="F73" s="1974"/>
      <c r="G73" s="1974"/>
      <c r="H73" s="1974"/>
      <c r="I73" s="1974"/>
      <c r="J73" s="1974"/>
      <c r="K73" s="1974"/>
      <c r="L73" s="1974"/>
      <c r="M73" s="1974"/>
      <c r="O73" s="2010">
        <f t="shared" si="0"/>
        <v>0</v>
      </c>
    </row>
    <row r="74" spans="2:15" ht="13.15" customHeight="1" x14ac:dyDescent="0.2">
      <c r="B74" s="1975" t="s">
        <v>2273</v>
      </c>
      <c r="C74" s="1980">
        <v>10.555</v>
      </c>
      <c r="D74" s="1979" t="s">
        <v>2131</v>
      </c>
      <c r="E74" s="1974">
        <v>2037217</v>
      </c>
      <c r="F74" s="1974">
        <v>442602</v>
      </c>
      <c r="G74" s="1974">
        <v>2037217</v>
      </c>
      <c r="H74" s="1974"/>
      <c r="I74" s="1974">
        <v>442602</v>
      </c>
      <c r="J74" s="1974"/>
      <c r="K74" s="1974">
        <v>0</v>
      </c>
      <c r="L74" s="1974">
        <v>2479819</v>
      </c>
      <c r="M74" s="1974" t="s">
        <v>2108</v>
      </c>
      <c r="O74" s="2010">
        <f t="shared" si="0"/>
        <v>0</v>
      </c>
    </row>
    <row r="75" spans="2:15" ht="13.15" customHeight="1" x14ac:dyDescent="0.2">
      <c r="B75" s="1975" t="s">
        <v>2274</v>
      </c>
      <c r="C75" s="1980">
        <v>10.555</v>
      </c>
      <c r="D75" s="1979" t="s">
        <v>2130</v>
      </c>
      <c r="E75" s="1974">
        <v>0</v>
      </c>
      <c r="F75" s="1974">
        <v>2100271</v>
      </c>
      <c r="G75" s="1974">
        <v>0</v>
      </c>
      <c r="H75" s="1974"/>
      <c r="I75" s="1974">
        <v>2100271</v>
      </c>
      <c r="J75" s="1974"/>
      <c r="K75" s="1974">
        <v>0</v>
      </c>
      <c r="L75" s="1974">
        <v>2100271</v>
      </c>
      <c r="M75" s="1974" t="s">
        <v>2108</v>
      </c>
      <c r="O75" s="2010">
        <f t="shared" si="0"/>
        <v>0</v>
      </c>
    </row>
    <row r="76" spans="2:15" ht="13.15" customHeight="1" x14ac:dyDescent="0.2">
      <c r="B76" s="1975" t="s">
        <v>2275</v>
      </c>
      <c r="C76" s="1980">
        <v>10.555</v>
      </c>
      <c r="D76" s="1979" t="s">
        <v>2126</v>
      </c>
      <c r="E76" s="1974">
        <v>154763</v>
      </c>
      <c r="F76" s="1974">
        <v>0</v>
      </c>
      <c r="G76" s="1974">
        <v>154763</v>
      </c>
      <c r="H76" s="1974"/>
      <c r="I76" s="1974">
        <v>0</v>
      </c>
      <c r="J76" s="1974"/>
      <c r="K76" s="1974">
        <v>0</v>
      </c>
      <c r="L76" s="1974">
        <v>154763</v>
      </c>
      <c r="M76" s="1974" t="s">
        <v>2108</v>
      </c>
      <c r="O76" s="2010">
        <f t="shared" si="0"/>
        <v>0</v>
      </c>
    </row>
    <row r="77" spans="2:15" ht="13.15" customHeight="1" x14ac:dyDescent="0.2">
      <c r="B77" s="1975" t="s">
        <v>2276</v>
      </c>
      <c r="C77" s="1980">
        <v>10.555</v>
      </c>
      <c r="D77" s="1979" t="s">
        <v>2124</v>
      </c>
      <c r="E77" s="1974">
        <v>0</v>
      </c>
      <c r="F77" s="1974">
        <v>191778</v>
      </c>
      <c r="G77" s="1974">
        <v>0</v>
      </c>
      <c r="H77" s="1974"/>
      <c r="I77" s="1974">
        <v>191778</v>
      </c>
      <c r="J77" s="1974"/>
      <c r="K77" s="1974">
        <v>0</v>
      </c>
      <c r="L77" s="1974">
        <v>191778</v>
      </c>
      <c r="M77" s="1974" t="s">
        <v>2108</v>
      </c>
      <c r="O77" s="2010">
        <f t="shared" si="0"/>
        <v>0</v>
      </c>
    </row>
    <row r="78" spans="2:15" ht="13.15" customHeight="1" x14ac:dyDescent="0.2">
      <c r="B78" s="1973"/>
      <c r="C78" s="1984"/>
      <c r="D78" s="1983"/>
      <c r="E78" s="1974"/>
      <c r="F78" s="1974"/>
      <c r="G78" s="1974"/>
      <c r="H78" s="1974"/>
      <c r="I78" s="1974"/>
      <c r="J78" s="1974"/>
      <c r="K78" s="1974"/>
      <c r="L78" s="1974"/>
      <c r="M78" s="1974"/>
      <c r="O78" s="2010">
        <f t="shared" si="0"/>
        <v>0</v>
      </c>
    </row>
    <row r="79" spans="2:15" ht="23.45" customHeight="1" x14ac:dyDescent="0.2">
      <c r="B79" s="1973" t="s">
        <v>2129</v>
      </c>
      <c r="C79" s="1984"/>
      <c r="D79" s="1983"/>
      <c r="E79" s="1974"/>
      <c r="F79" s="1974"/>
      <c r="G79" s="1974"/>
      <c r="H79" s="1974"/>
      <c r="I79" s="1974"/>
      <c r="J79" s="1974"/>
      <c r="K79" s="1974"/>
      <c r="L79" s="1974"/>
      <c r="M79" s="1974"/>
      <c r="O79" s="2010">
        <f t="shared" si="0"/>
        <v>0</v>
      </c>
    </row>
    <row r="80" spans="2:15" ht="27" customHeight="1" x14ac:dyDescent="0.2">
      <c r="B80" s="1973" t="s">
        <v>2128</v>
      </c>
      <c r="C80" s="1984"/>
      <c r="D80" s="1983"/>
      <c r="E80" s="1974"/>
      <c r="F80" s="1974"/>
      <c r="G80" s="1974"/>
      <c r="H80" s="1974"/>
      <c r="I80" s="1974"/>
      <c r="J80" s="1974"/>
      <c r="K80" s="1974"/>
      <c r="L80" s="1974"/>
      <c r="M80" s="1974"/>
      <c r="O80" s="2010">
        <f t="shared" si="0"/>
        <v>0</v>
      </c>
    </row>
    <row r="81" spans="2:15" ht="29.45" customHeight="1" x14ac:dyDescent="0.2">
      <c r="B81" s="1975" t="s">
        <v>2127</v>
      </c>
      <c r="C81" s="1980">
        <v>10.555</v>
      </c>
      <c r="D81" s="1979" t="s">
        <v>2126</v>
      </c>
      <c r="E81" s="1987">
        <v>207884</v>
      </c>
      <c r="F81" s="1974">
        <v>0</v>
      </c>
      <c r="G81" s="1974">
        <v>207884</v>
      </c>
      <c r="H81" s="1974"/>
      <c r="I81" s="1974">
        <v>0</v>
      </c>
      <c r="J81" s="1974"/>
      <c r="K81" s="1974">
        <v>0</v>
      </c>
      <c r="L81" s="1974">
        <v>207884</v>
      </c>
      <c r="M81" s="1974" t="s">
        <v>2108</v>
      </c>
      <c r="O81" s="2010">
        <f t="shared" ref="O81:O101" si="1">+L81-F81-E81</f>
        <v>0</v>
      </c>
    </row>
    <row r="82" spans="2:15" ht="25.9" customHeight="1" x14ac:dyDescent="0.2">
      <c r="B82" s="1975" t="s">
        <v>2125</v>
      </c>
      <c r="C82" s="1980">
        <v>10.555</v>
      </c>
      <c r="D82" s="1979" t="s">
        <v>2124</v>
      </c>
      <c r="E82" s="1987">
        <v>0</v>
      </c>
      <c r="F82" s="1974">
        <v>146861</v>
      </c>
      <c r="G82" s="1974">
        <v>0</v>
      </c>
      <c r="H82" s="1974"/>
      <c r="I82" s="1974">
        <v>146861</v>
      </c>
      <c r="J82" s="1974"/>
      <c r="K82" s="1974">
        <v>0</v>
      </c>
      <c r="L82" s="1974">
        <v>146861</v>
      </c>
      <c r="M82" s="1974" t="s">
        <v>2108</v>
      </c>
      <c r="O82" s="2010">
        <f t="shared" si="1"/>
        <v>0</v>
      </c>
    </row>
    <row r="83" spans="2:15" ht="13.15" customHeight="1" x14ac:dyDescent="0.2">
      <c r="B83" s="1975"/>
      <c r="C83" s="1980"/>
      <c r="D83" s="1979"/>
      <c r="E83" s="1974"/>
      <c r="F83" s="1974"/>
      <c r="G83" s="1974"/>
      <c r="H83" s="1974"/>
      <c r="I83" s="1974"/>
      <c r="J83" s="1974"/>
      <c r="K83" s="1974"/>
      <c r="L83" s="1974"/>
      <c r="M83" s="1974"/>
      <c r="O83" s="2010">
        <f t="shared" si="1"/>
        <v>0</v>
      </c>
    </row>
    <row r="84" spans="2:15" ht="30.6" customHeight="1" x14ac:dyDescent="0.2">
      <c r="B84" s="1973" t="s">
        <v>2123</v>
      </c>
      <c r="C84" s="1984"/>
      <c r="D84" s="1983"/>
      <c r="E84" s="1976">
        <f>SUM(E74:E82)</f>
        <v>2399864</v>
      </c>
      <c r="F84" s="1976">
        <f>SUM(F74:F82)</f>
        <v>2881512</v>
      </c>
      <c r="G84" s="1976">
        <f>SUM(G74:G82)</f>
        <v>2399864</v>
      </c>
      <c r="H84" s="1976"/>
      <c r="I84" s="1976">
        <f>SUM(I74:I82)</f>
        <v>2881512</v>
      </c>
      <c r="J84" s="1976"/>
      <c r="K84" s="1976">
        <f>SUM(K74:K82)</f>
        <v>0</v>
      </c>
      <c r="L84" s="1976">
        <f>SUM(L74:L82)</f>
        <v>5281376</v>
      </c>
      <c r="M84" s="1976" t="s">
        <v>2108</v>
      </c>
      <c r="O84" s="2010">
        <f t="shared" si="1"/>
        <v>0</v>
      </c>
    </row>
    <row r="85" spans="2:15" ht="13.15" customHeight="1" x14ac:dyDescent="0.2">
      <c r="B85" s="1975"/>
      <c r="C85" s="1980"/>
      <c r="D85" s="1979"/>
      <c r="E85" s="1974"/>
      <c r="F85" s="1974"/>
      <c r="G85" s="1974"/>
      <c r="H85" s="1974"/>
      <c r="I85" s="1974"/>
      <c r="J85" s="1974"/>
      <c r="K85" s="1974"/>
      <c r="L85" s="1974"/>
      <c r="M85" s="1974"/>
      <c r="O85" s="2010">
        <f t="shared" si="1"/>
        <v>0</v>
      </c>
    </row>
    <row r="86" spans="2:15" ht="13.15" customHeight="1" x14ac:dyDescent="0.2">
      <c r="B86" s="1973" t="s">
        <v>2122</v>
      </c>
      <c r="C86" s="1984"/>
      <c r="D86" s="1983"/>
      <c r="E86" s="1976">
        <f>SUM(E84,E71,E66)</f>
        <v>2995450</v>
      </c>
      <c r="F86" s="1976">
        <f>SUM(F84,F71,F66)</f>
        <v>3686789</v>
      </c>
      <c r="G86" s="1976">
        <f>SUM(G84,G71,G66)</f>
        <v>2995450</v>
      </c>
      <c r="H86" s="1976"/>
      <c r="I86" s="1976">
        <f>SUM(I84,I71,I66)</f>
        <v>3686789</v>
      </c>
      <c r="J86" s="1976"/>
      <c r="K86" s="1976">
        <f>SUM(K84,K71,K66)</f>
        <v>0</v>
      </c>
      <c r="L86" s="1976">
        <f>SUM(L84,L71,L66)</f>
        <v>6682239</v>
      </c>
      <c r="M86" s="1976" t="s">
        <v>2108</v>
      </c>
      <c r="O86" s="2010">
        <f t="shared" si="1"/>
        <v>0</v>
      </c>
    </row>
    <row r="87" spans="2:15" x14ac:dyDescent="0.2">
      <c r="B87" s="1975"/>
      <c r="C87" s="1980"/>
      <c r="D87" s="1979"/>
      <c r="E87" s="1974"/>
      <c r="F87" s="1974"/>
      <c r="G87" s="1974"/>
      <c r="H87" s="1974"/>
      <c r="I87" s="1974"/>
      <c r="J87" s="1974"/>
      <c r="K87" s="1974"/>
      <c r="L87" s="1974"/>
      <c r="M87" s="1974"/>
      <c r="O87" s="2010">
        <f t="shared" si="1"/>
        <v>0</v>
      </c>
    </row>
    <row r="88" spans="2:15" ht="35.450000000000003" customHeight="1" x14ac:dyDescent="0.2">
      <c r="B88" s="1973" t="s">
        <v>2121</v>
      </c>
      <c r="C88" s="1986"/>
      <c r="D88" s="1985"/>
      <c r="E88" s="1974"/>
      <c r="F88" s="1974"/>
      <c r="G88" s="1974"/>
      <c r="H88" s="1974"/>
      <c r="I88" s="1974"/>
      <c r="J88" s="1974"/>
      <c r="K88" s="1974"/>
      <c r="L88" s="1974"/>
      <c r="M88" s="1974"/>
      <c r="O88" s="2010">
        <f t="shared" si="1"/>
        <v>0</v>
      </c>
    </row>
    <row r="89" spans="2:15" ht="13.15" customHeight="1" x14ac:dyDescent="0.2">
      <c r="B89" s="1973" t="s">
        <v>2120</v>
      </c>
      <c r="C89" s="1986"/>
      <c r="D89" s="1985"/>
      <c r="E89" s="1974"/>
      <c r="F89" s="1974"/>
      <c r="G89" s="1974"/>
      <c r="H89" s="1974"/>
      <c r="I89" s="1974"/>
      <c r="J89" s="1974"/>
      <c r="K89" s="1974"/>
      <c r="L89" s="1974"/>
      <c r="M89" s="1974"/>
      <c r="O89" s="2010">
        <f t="shared" si="1"/>
        <v>0</v>
      </c>
    </row>
    <row r="90" spans="2:15" ht="13.15" customHeight="1" x14ac:dyDescent="0.2">
      <c r="B90" s="1973" t="s">
        <v>2119</v>
      </c>
      <c r="C90" s="1980"/>
      <c r="D90" s="1979"/>
      <c r="E90" s="1974"/>
      <c r="F90" s="1974"/>
      <c r="G90" s="1974"/>
      <c r="H90" s="1974"/>
      <c r="I90" s="1974"/>
      <c r="J90" s="1974"/>
      <c r="K90" s="1974"/>
      <c r="L90" s="1974"/>
      <c r="M90" s="1974"/>
      <c r="O90" s="2010">
        <f t="shared" si="1"/>
        <v>0</v>
      </c>
    </row>
    <row r="91" spans="2:15" ht="13.15" customHeight="1" x14ac:dyDescent="0.2">
      <c r="B91" s="1975" t="s">
        <v>2118</v>
      </c>
      <c r="C91" s="1980">
        <v>93.778000000000006</v>
      </c>
      <c r="D91" s="1979" t="s">
        <v>2117</v>
      </c>
      <c r="E91" s="1974">
        <v>212068</v>
      </c>
      <c r="F91" s="1974">
        <v>0</v>
      </c>
      <c r="G91" s="1974">
        <v>212068</v>
      </c>
      <c r="H91" s="1974"/>
      <c r="I91" s="1974">
        <v>0</v>
      </c>
      <c r="J91" s="1974"/>
      <c r="K91" s="1974">
        <v>0</v>
      </c>
      <c r="L91" s="1974">
        <v>212068</v>
      </c>
      <c r="M91" s="1974" t="s">
        <v>2108</v>
      </c>
      <c r="O91" s="2010">
        <f t="shared" si="1"/>
        <v>0</v>
      </c>
    </row>
    <row r="92" spans="2:15" ht="13.15" customHeight="1" x14ac:dyDescent="0.2">
      <c r="B92" s="1975" t="s">
        <v>2116</v>
      </c>
      <c r="C92" s="1980">
        <v>93.778000000000006</v>
      </c>
      <c r="D92" s="1979" t="s">
        <v>2115</v>
      </c>
      <c r="E92" s="1974">
        <v>0</v>
      </c>
      <c r="F92" s="1974">
        <v>142544</v>
      </c>
      <c r="G92" s="1974">
        <v>0</v>
      </c>
      <c r="H92" s="1974"/>
      <c r="I92" s="1974">
        <v>142544</v>
      </c>
      <c r="J92" s="1974"/>
      <c r="K92" s="1974">
        <v>0</v>
      </c>
      <c r="L92" s="1974">
        <v>142544</v>
      </c>
      <c r="M92" s="1974" t="s">
        <v>2108</v>
      </c>
      <c r="O92" s="2010">
        <f t="shared" si="1"/>
        <v>0</v>
      </c>
    </row>
    <row r="93" spans="2:15" ht="30.6" customHeight="1" x14ac:dyDescent="0.2">
      <c r="B93" s="1973" t="s">
        <v>2114</v>
      </c>
      <c r="C93" s="1984"/>
      <c r="D93" s="1983"/>
      <c r="E93" s="1976">
        <f>SUM(E91:E92)</f>
        <v>212068</v>
      </c>
      <c r="F93" s="1976">
        <f>SUM(F91:F92)</f>
        <v>142544</v>
      </c>
      <c r="G93" s="1976">
        <f>SUM(G91:G92)</f>
        <v>212068</v>
      </c>
      <c r="H93" s="1976"/>
      <c r="I93" s="1976">
        <f>SUM(I91:I92)</f>
        <v>142544</v>
      </c>
      <c r="J93" s="1976"/>
      <c r="K93" s="1976">
        <f>SUM(K91:K92)</f>
        <v>0</v>
      </c>
      <c r="L93" s="1976">
        <f>SUM(L91:L92)</f>
        <v>354612</v>
      </c>
      <c r="M93" s="1976" t="s">
        <v>2108</v>
      </c>
      <c r="O93" s="2010">
        <f t="shared" si="1"/>
        <v>0</v>
      </c>
    </row>
    <row r="94" spans="2:15" ht="13.15" customHeight="1" x14ac:dyDescent="0.2">
      <c r="B94" s="1973"/>
      <c r="C94" s="1984"/>
      <c r="D94" s="1983"/>
      <c r="E94" s="1974"/>
      <c r="F94" s="1974"/>
      <c r="G94" s="1974"/>
      <c r="H94" s="1974"/>
      <c r="I94" s="1974"/>
      <c r="J94" s="1974"/>
      <c r="K94" s="1974"/>
      <c r="L94" s="1974"/>
      <c r="M94" s="1974"/>
      <c r="O94" s="2010">
        <f t="shared" si="1"/>
        <v>0</v>
      </c>
    </row>
    <row r="95" spans="2:15" ht="13.15" customHeight="1" x14ac:dyDescent="0.2">
      <c r="B95" s="1973" t="s">
        <v>2113</v>
      </c>
      <c r="C95" s="1984"/>
      <c r="D95" s="1983"/>
      <c r="E95" s="1976">
        <f>E93</f>
        <v>212068</v>
      </c>
      <c r="F95" s="1976">
        <f>F93</f>
        <v>142544</v>
      </c>
      <c r="G95" s="1976">
        <f>G93</f>
        <v>212068</v>
      </c>
      <c r="H95" s="1976"/>
      <c r="I95" s="1976">
        <f>I93</f>
        <v>142544</v>
      </c>
      <c r="J95" s="1976"/>
      <c r="K95" s="1976">
        <f>K93</f>
        <v>0</v>
      </c>
      <c r="L95" s="1976">
        <f>L93</f>
        <v>354612</v>
      </c>
      <c r="M95" s="1976" t="str">
        <f>M93</f>
        <v>N/A</v>
      </c>
      <c r="O95" s="2010">
        <f t="shared" si="1"/>
        <v>0</v>
      </c>
    </row>
    <row r="96" spans="2:15" ht="13.15" customHeight="1" x14ac:dyDescent="0.2">
      <c r="B96" s="1982"/>
      <c r="C96" s="1980"/>
      <c r="D96" s="1979"/>
      <c r="E96" s="1974"/>
      <c r="F96" s="1974"/>
      <c r="G96" s="1974"/>
      <c r="H96" s="1974"/>
      <c r="I96" s="1974"/>
      <c r="J96" s="1974"/>
      <c r="K96" s="1974"/>
      <c r="L96" s="1974"/>
      <c r="M96" s="1974"/>
      <c r="O96" s="2010">
        <f t="shared" si="1"/>
        <v>0</v>
      </c>
    </row>
    <row r="97" spans="2:15" ht="24" customHeight="1" x14ac:dyDescent="0.2">
      <c r="B97" s="1981" t="s">
        <v>2112</v>
      </c>
      <c r="C97" s="1980"/>
      <c r="D97" s="1979"/>
      <c r="E97" s="1974"/>
      <c r="F97" s="1974"/>
      <c r="G97" s="1974"/>
      <c r="H97" s="1974"/>
      <c r="I97" s="1974"/>
      <c r="J97" s="1974"/>
      <c r="K97" s="1974"/>
      <c r="L97" s="1974"/>
      <c r="M97" s="1974"/>
      <c r="O97" s="2010">
        <f t="shared" si="1"/>
        <v>0</v>
      </c>
    </row>
    <row r="98" spans="2:15" ht="13.15" customHeight="1" x14ac:dyDescent="0.2">
      <c r="B98" s="1975" t="s">
        <v>2111</v>
      </c>
      <c r="C98" s="1980">
        <v>93.242999999999995</v>
      </c>
      <c r="D98" s="1979" t="s">
        <v>2110</v>
      </c>
      <c r="E98" s="1974">
        <v>40829</v>
      </c>
      <c r="F98" s="1974">
        <v>0</v>
      </c>
      <c r="G98" s="1974">
        <v>40829</v>
      </c>
      <c r="H98" s="1974"/>
      <c r="I98" s="1974">
        <v>0</v>
      </c>
      <c r="J98" s="1974"/>
      <c r="K98" s="1974">
        <v>0</v>
      </c>
      <c r="L98" s="1974">
        <v>40829</v>
      </c>
      <c r="M98" s="1974" t="s">
        <v>2108</v>
      </c>
      <c r="O98" s="2010">
        <f t="shared" si="1"/>
        <v>0</v>
      </c>
    </row>
    <row r="99" spans="2:15" ht="39.6" customHeight="1" x14ac:dyDescent="0.2">
      <c r="B99" s="1973" t="s">
        <v>2109</v>
      </c>
      <c r="C99" s="1978"/>
      <c r="D99" s="1977"/>
      <c r="E99" s="1976">
        <f>SUM(E98:E98)</f>
        <v>40829</v>
      </c>
      <c r="F99" s="1976">
        <f>SUM(F98:F98)</f>
        <v>0</v>
      </c>
      <c r="G99" s="1976">
        <f>SUM(G98:G98)</f>
        <v>40829</v>
      </c>
      <c r="H99" s="1976"/>
      <c r="I99" s="1976">
        <f>SUM(I98:I98)</f>
        <v>0</v>
      </c>
      <c r="J99" s="1976"/>
      <c r="K99" s="1976">
        <f>SUM(K98:K98)</f>
        <v>0</v>
      </c>
      <c r="L99" s="1976">
        <f>SUM(L98:L98)</f>
        <v>40829</v>
      </c>
      <c r="M99" s="1976" t="s">
        <v>2108</v>
      </c>
      <c r="O99" s="2010">
        <f t="shared" si="1"/>
        <v>0</v>
      </c>
    </row>
    <row r="100" spans="2:15" x14ac:dyDescent="0.2">
      <c r="B100" s="1975"/>
      <c r="C100" s="1972"/>
      <c r="D100" s="1971"/>
      <c r="E100" s="1969"/>
      <c r="F100" s="1969"/>
      <c r="G100" s="1969"/>
      <c r="H100" s="1969"/>
      <c r="I100" s="1969"/>
      <c r="J100" s="1969"/>
      <c r="K100" s="1969"/>
      <c r="L100" s="1974"/>
      <c r="M100" s="1969"/>
      <c r="O100" s="2010">
        <f t="shared" si="1"/>
        <v>0</v>
      </c>
    </row>
    <row r="101" spans="2:15" ht="20.100000000000001" customHeight="1" x14ac:dyDescent="0.2">
      <c r="B101" s="1973" t="s">
        <v>2107</v>
      </c>
      <c r="C101" s="1972"/>
      <c r="D101" s="1971"/>
      <c r="E101" s="1970">
        <f>E99+E95+E56+E86+E50+E45+E37+E22+E60+E15</f>
        <v>9615468</v>
      </c>
      <c r="F101" s="1970">
        <f>F99+F95+F56+F86+F50+F45+F37+F22+F60+F15</f>
        <v>10753077</v>
      </c>
      <c r="G101" s="1970">
        <f>G99+G95+G56+G86+G50+G45+G37+G22+G60+G15</f>
        <v>9615468</v>
      </c>
      <c r="H101" s="1970"/>
      <c r="I101" s="1970">
        <f>I99+I95+I56+I86+I50+I45+I37+I22+I60+I15</f>
        <v>10656147</v>
      </c>
      <c r="J101" s="1970"/>
      <c r="K101" s="1970">
        <f>K99+K95+K56+K86+K50+K45+K37+K22+K60+K15</f>
        <v>82926</v>
      </c>
      <c r="L101" s="1970">
        <f>L99+L95+L56+L86+L50+L45+L37+L22+L60+L15</f>
        <v>20354541</v>
      </c>
      <c r="M101" s="1970">
        <f>+M22+M28+M35+M45+M50</f>
        <v>15869199</v>
      </c>
      <c r="O101" s="2010">
        <f t="shared" si="1"/>
        <v>-14004</v>
      </c>
    </row>
    <row r="102" spans="2:15" ht="12.75" customHeight="1" x14ac:dyDescent="0.2">
      <c r="B102" s="1250"/>
      <c r="C102" s="1251"/>
      <c r="D102" s="1252"/>
      <c r="E102" s="1253"/>
      <c r="F102" s="1253"/>
      <c r="G102" s="1253"/>
      <c r="H102" s="1253"/>
      <c r="I102" s="1253"/>
      <c r="J102" s="1253"/>
      <c r="K102" s="1253"/>
      <c r="L102" s="1253"/>
      <c r="M102" s="1253"/>
      <c r="N102" s="1249"/>
    </row>
    <row r="103" spans="2:15" x14ac:dyDescent="0.2">
      <c r="B103" s="1168"/>
      <c r="C103" s="1254"/>
      <c r="D103" s="1255"/>
      <c r="E103" s="1168"/>
      <c r="F103" s="1168"/>
      <c r="G103" s="1161"/>
      <c r="H103" s="1161"/>
      <c r="I103" s="1161"/>
      <c r="J103" s="1161"/>
      <c r="K103" s="1161"/>
      <c r="L103" s="1161"/>
      <c r="M103" s="1168"/>
      <c r="N103" s="1249"/>
    </row>
    <row r="104" spans="2:15" ht="13.5" customHeight="1" x14ac:dyDescent="0.2">
      <c r="B104" s="1193" t="s">
        <v>1836</v>
      </c>
      <c r="C104" s="1254"/>
      <c r="D104" s="1255"/>
      <c r="E104" s="1168"/>
      <c r="F104" s="1168"/>
      <c r="G104" s="1161"/>
      <c r="H104" s="1161"/>
      <c r="I104" s="1161"/>
      <c r="J104" s="1161"/>
      <c r="K104" s="1161"/>
      <c r="L104" s="1161"/>
      <c r="M104" s="1168"/>
      <c r="N104" s="1249"/>
    </row>
    <row r="105" spans="2:15" ht="8.25" customHeight="1" x14ac:dyDescent="0.2">
      <c r="B105" s="1193"/>
      <c r="C105" s="1254"/>
      <c r="D105" s="1255"/>
      <c r="E105" s="1168"/>
      <c r="F105" s="1168"/>
      <c r="G105" s="1161"/>
      <c r="H105" s="1161"/>
      <c r="I105" s="1161"/>
      <c r="J105" s="1161"/>
      <c r="K105" s="1161"/>
      <c r="L105" s="1161"/>
      <c r="M105" s="1168"/>
      <c r="N105" s="1249"/>
    </row>
    <row r="106" spans="2:15" x14ac:dyDescent="0.2">
      <c r="B106" s="1256" t="s">
        <v>1947</v>
      </c>
      <c r="C106" s="1257"/>
      <c r="D106" s="1258"/>
      <c r="E106" s="1259"/>
      <c r="F106" s="1259"/>
      <c r="G106" s="1259"/>
      <c r="H106" s="1259"/>
      <c r="I106" s="313"/>
      <c r="J106" s="313"/>
    </row>
    <row r="107" spans="2:15" x14ac:dyDescent="0.2">
      <c r="B107" s="1188"/>
      <c r="C107" s="1260"/>
      <c r="D107" s="1261"/>
      <c r="E107" s="1189"/>
      <c r="F107" s="1189"/>
      <c r="G107" s="313"/>
      <c r="H107" s="313"/>
      <c r="I107" s="313"/>
      <c r="J107" s="313"/>
    </row>
    <row r="108" spans="2:15" ht="13.5" customHeight="1" x14ac:dyDescent="0.2">
      <c r="B108" s="1187" t="s">
        <v>1307</v>
      </c>
      <c r="G108" s="313"/>
      <c r="H108" s="313"/>
      <c r="I108" s="313"/>
      <c r="J108" s="313"/>
    </row>
    <row r="109" spans="2:15" ht="13.5" customHeight="1" x14ac:dyDescent="0.2">
      <c r="B109" s="1264"/>
      <c r="C109" s="1265"/>
      <c r="D109" s="1266"/>
      <c r="E109" s="1208"/>
      <c r="F109" s="1208"/>
      <c r="G109" s="1208"/>
      <c r="H109" s="1208"/>
      <c r="I109" s="1208"/>
      <c r="J109" s="1208"/>
      <c r="K109" s="1267"/>
      <c r="L109" s="1267"/>
      <c r="M109" s="1208"/>
    </row>
    <row r="110" spans="2:15" ht="9.6" customHeight="1" x14ac:dyDescent="0.2">
      <c r="B110" s="1268"/>
      <c r="G110" s="313"/>
      <c r="H110" s="313"/>
      <c r="I110" s="313"/>
      <c r="J110" s="313"/>
    </row>
    <row r="111" spans="2:15" ht="11.25" customHeight="1" x14ac:dyDescent="0.2">
      <c r="B111" s="1269" t="s">
        <v>1837</v>
      </c>
      <c r="C111" s="1270"/>
      <c r="D111" s="1270"/>
      <c r="E111" s="1270"/>
      <c r="F111" s="1270"/>
      <c r="G111" s="1270"/>
      <c r="H111" s="1270"/>
      <c r="I111" s="1271"/>
      <c r="J111" s="1271"/>
      <c r="K111" s="1271"/>
      <c r="L111" s="1271"/>
      <c r="M111" s="1271"/>
    </row>
    <row r="112" spans="2:15" ht="11.25" customHeight="1" x14ac:dyDescent="0.2">
      <c r="B112" s="1272" t="s">
        <v>1665</v>
      </c>
      <c r="C112" s="1271"/>
      <c r="D112" s="1271"/>
      <c r="E112" s="1271"/>
      <c r="F112" s="1271"/>
      <c r="G112" s="1271"/>
      <c r="H112" s="1271"/>
      <c r="I112" s="1271"/>
      <c r="J112" s="1271"/>
      <c r="K112" s="1271"/>
      <c r="L112" s="1271"/>
      <c r="M112" s="1271"/>
    </row>
    <row r="113" spans="2:13" ht="3.95" customHeight="1" x14ac:dyDescent="0.2">
      <c r="B113" s="1272"/>
      <c r="C113" s="1271"/>
      <c r="D113" s="1271"/>
      <c r="E113" s="1271"/>
      <c r="F113" s="1271"/>
      <c r="G113" s="1271"/>
      <c r="H113" s="1271"/>
      <c r="I113" s="1271"/>
      <c r="J113" s="1271"/>
      <c r="K113" s="1271"/>
      <c r="L113" s="1271"/>
      <c r="M113" s="1271"/>
    </row>
    <row r="114" spans="2:13" ht="11.25" customHeight="1" x14ac:dyDescent="0.2">
      <c r="B114" s="1269" t="s">
        <v>1838</v>
      </c>
      <c r="C114" s="1271"/>
      <c r="D114" s="1271"/>
      <c r="E114" s="1271"/>
      <c r="F114" s="1271"/>
      <c r="G114" s="1271"/>
      <c r="H114" s="1271"/>
      <c r="I114" s="1271"/>
      <c r="J114" s="1271"/>
      <c r="K114" s="1271"/>
      <c r="L114" s="1271"/>
      <c r="M114" s="1271"/>
    </row>
    <row r="115" spans="2:13" ht="11.25" customHeight="1" x14ac:dyDescent="0.2">
      <c r="B115" s="1211" t="s">
        <v>1666</v>
      </c>
      <c r="C115" s="1273"/>
      <c r="D115" s="1274"/>
      <c r="E115" s="1211"/>
      <c r="F115" s="1211"/>
      <c r="G115" s="1211"/>
      <c r="H115" s="1211"/>
      <c r="I115" s="1211"/>
      <c r="J115" s="1211"/>
      <c r="K115" s="1275"/>
      <c r="L115" s="1275"/>
      <c r="M115" s="1211"/>
    </row>
    <row r="116" spans="2:13" ht="3.95" customHeight="1" x14ac:dyDescent="0.2">
      <c r="B116" s="1211"/>
      <c r="C116" s="1273"/>
      <c r="D116" s="1274"/>
      <c r="E116" s="1211"/>
      <c r="F116" s="1211"/>
      <c r="G116" s="1211"/>
      <c r="H116" s="1211"/>
      <c r="I116" s="1211"/>
      <c r="J116" s="1211"/>
      <c r="K116" s="1275"/>
      <c r="L116" s="1275"/>
      <c r="M116" s="1211"/>
    </row>
    <row r="117" spans="2:13" ht="11.25" customHeight="1" x14ac:dyDescent="0.2">
      <c r="B117" s="1276" t="s">
        <v>1839</v>
      </c>
      <c r="C117" s="1273"/>
      <c r="D117" s="1274"/>
      <c r="E117" s="1211"/>
      <c r="F117" s="1211"/>
      <c r="G117" s="1211"/>
      <c r="H117" s="1211"/>
      <c r="I117" s="1211"/>
      <c r="J117" s="1211"/>
      <c r="K117" s="1275"/>
      <c r="L117" s="1275"/>
      <c r="M117" s="1211"/>
    </row>
    <row r="118" spans="2:13" ht="3.95" customHeight="1" x14ac:dyDescent="0.2">
      <c r="B118" s="1276"/>
      <c r="C118" s="1273"/>
      <c r="D118" s="1274"/>
      <c r="E118" s="1211"/>
      <c r="F118" s="1211"/>
      <c r="G118" s="1211"/>
      <c r="H118" s="1211"/>
      <c r="I118" s="1211"/>
      <c r="J118" s="1211"/>
      <c r="K118" s="1275"/>
      <c r="L118" s="1275"/>
      <c r="M118" s="1211"/>
    </row>
    <row r="119" spans="2:13" ht="11.25" customHeight="1" x14ac:dyDescent="0.2">
      <c r="B119" s="1277" t="s">
        <v>1840</v>
      </c>
      <c r="C119" s="1273"/>
      <c r="D119" s="1274"/>
      <c r="E119" s="1211"/>
      <c r="F119" s="1211"/>
      <c r="G119" s="1211"/>
      <c r="H119" s="1211"/>
      <c r="I119" s="1211"/>
      <c r="J119" s="1211"/>
      <c r="K119" s="1275"/>
      <c r="L119" s="1275"/>
      <c r="M119" s="1211"/>
    </row>
    <row r="120" spans="2:13" ht="11.25" customHeight="1" x14ac:dyDescent="0.2">
      <c r="B120" s="1211" t="s">
        <v>1667</v>
      </c>
      <c r="G120" s="313"/>
      <c r="H120" s="313"/>
      <c r="I120" s="313"/>
      <c r="J120" s="313"/>
    </row>
    <row r="121" spans="2:13" ht="11.1" customHeight="1" x14ac:dyDescent="0.2">
      <c r="B121" s="1211"/>
      <c r="G121" s="313"/>
      <c r="H121" s="313"/>
      <c r="I121" s="313"/>
      <c r="J121" s="313"/>
    </row>
    <row r="122" spans="2:13" ht="11.1" customHeight="1" x14ac:dyDescent="0.2">
      <c r="B122" s="1211"/>
      <c r="G122" s="313"/>
      <c r="H122" s="313"/>
      <c r="I122" s="313"/>
      <c r="J122" s="313"/>
    </row>
    <row r="123" spans="2:13" ht="13.5" customHeight="1" x14ac:dyDescent="0.2">
      <c r="M123" s="1278"/>
    </row>
    <row r="124" spans="2:13" ht="13.5" customHeight="1" x14ac:dyDescent="0.2">
      <c r="M124" s="1278"/>
    </row>
    <row r="125" spans="2:13" ht="13.5" customHeight="1" x14ac:dyDescent="0.2">
      <c r="M125" s="1278"/>
    </row>
    <row r="126" spans="2:13" ht="13.5" customHeight="1" x14ac:dyDescent="0.2">
      <c r="G126" s="313"/>
      <c r="H126" s="313"/>
      <c r="I126" s="313"/>
      <c r="J126" s="313"/>
    </row>
    <row r="127" spans="2:13" ht="13.5" customHeight="1" x14ac:dyDescent="0.2">
      <c r="G127" s="313"/>
      <c r="H127" s="313"/>
      <c r="I127" s="313"/>
      <c r="J127" s="313"/>
    </row>
    <row r="128" spans="2:13" ht="13.5" customHeight="1" x14ac:dyDescent="0.2">
      <c r="G128" s="313"/>
      <c r="H128" s="313"/>
      <c r="I128" s="313"/>
      <c r="J128" s="313"/>
    </row>
    <row r="129" spans="7:10" ht="13.5" customHeight="1" x14ac:dyDescent="0.2">
      <c r="G129" s="313"/>
      <c r="H129" s="313"/>
      <c r="I129" s="313"/>
      <c r="J129" s="313"/>
    </row>
    <row r="130" spans="7:10" ht="13.5" customHeight="1" x14ac:dyDescent="0.2">
      <c r="G130" s="313"/>
      <c r="H130" s="313"/>
      <c r="I130" s="313"/>
      <c r="J130" s="313"/>
    </row>
    <row r="131" spans="7:10" ht="13.5" customHeight="1" x14ac:dyDescent="0.2">
      <c r="G131" s="313"/>
      <c r="H131" s="313"/>
      <c r="I131" s="313"/>
      <c r="J131" s="313"/>
    </row>
    <row r="132" spans="7:10" ht="13.5" customHeight="1" x14ac:dyDescent="0.2">
      <c r="G132" s="313"/>
      <c r="H132" s="313"/>
      <c r="I132" s="313"/>
      <c r="J132" s="313"/>
    </row>
    <row r="133" spans="7:10" ht="13.5" customHeight="1" x14ac:dyDescent="0.2"/>
    <row r="134" spans="7:10" ht="13.5" customHeight="1" x14ac:dyDescent="0.2"/>
    <row r="135" spans="7:10" ht="13.5" customHeight="1" x14ac:dyDescent="0.2"/>
    <row r="136" spans="7:10" ht="25.5" customHeight="1" x14ac:dyDescent="0.2"/>
    <row r="137" spans="7:10" ht="25.5" customHeight="1" x14ac:dyDescent="0.2"/>
    <row r="138" spans="7:10" ht="25.5" customHeight="1" x14ac:dyDescent="0.2"/>
    <row r="139" spans="7:10" ht="25.5" customHeight="1" x14ac:dyDescent="0.2"/>
    <row r="140" spans="7:10" ht="25.5" customHeight="1" x14ac:dyDescent="0.2"/>
    <row r="141" spans="7:10" ht="25.5" customHeight="1" x14ac:dyDescent="0.2"/>
    <row r="142" spans="7:10" ht="25.5" customHeight="1" x14ac:dyDescent="0.2"/>
    <row r="143" spans="7:10" ht="25.5" customHeight="1" x14ac:dyDescent="0.2"/>
    <row r="144" spans="7:10" ht="25.5" customHeight="1" x14ac:dyDescent="0.2"/>
    <row r="145" ht="25.5" customHeight="1" x14ac:dyDescent="0.2"/>
    <row r="146" ht="25.5" customHeight="1" x14ac:dyDescent="0.2"/>
    <row r="147" ht="25.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4.7" customHeight="1" x14ac:dyDescent="0.2"/>
    <row r="186" ht="12.2"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13.5" customHeight="1" x14ac:dyDescent="0.2"/>
    <row r="202" ht="13.5" customHeight="1" x14ac:dyDescent="0.2"/>
    <row r="203" ht="13.5" customHeight="1" x14ac:dyDescent="0.2"/>
    <row r="204" ht="13.5" customHeight="1" x14ac:dyDescent="0.2"/>
    <row r="205" ht="13.5" customHeight="1" x14ac:dyDescent="0.2"/>
    <row r="206" ht="13.5" customHeight="1" x14ac:dyDescent="0.2"/>
    <row r="207" ht="13.5" customHeight="1" x14ac:dyDescent="0.2"/>
    <row r="208" ht="13.5" customHeight="1" x14ac:dyDescent="0.2"/>
    <row r="209" ht="13.5" customHeight="1" x14ac:dyDescent="0.2"/>
    <row r="210" ht="13.5" customHeight="1" x14ac:dyDescent="0.2"/>
    <row r="211" ht="13.5" customHeight="1" x14ac:dyDescent="0.2"/>
    <row r="212" ht="13.5" customHeight="1" x14ac:dyDescent="0.2"/>
    <row r="213" ht="13.5" customHeight="1" x14ac:dyDescent="0.2"/>
    <row r="214" ht="13.5" customHeight="1" x14ac:dyDescent="0.2"/>
    <row r="215" ht="13.5" customHeight="1" x14ac:dyDescent="0.2"/>
    <row r="216" ht="13.5" customHeight="1" x14ac:dyDescent="0.2"/>
    <row r="217" ht="13.5" customHeight="1" x14ac:dyDescent="0.2"/>
    <row r="218" ht="13.5" customHeight="1" x14ac:dyDescent="0.2"/>
    <row r="219" ht="13.5" customHeight="1" x14ac:dyDescent="0.2"/>
    <row r="220" ht="13.5" customHeight="1" x14ac:dyDescent="0.2"/>
    <row r="221" ht="13.5" customHeight="1" x14ac:dyDescent="0.2"/>
    <row r="222" ht="13.5" customHeight="1" x14ac:dyDescent="0.2"/>
    <row r="223" ht="13.5" customHeight="1" x14ac:dyDescent="0.2"/>
    <row r="224" ht="13.5" customHeight="1" x14ac:dyDescent="0.2"/>
    <row r="225" ht="4.7" customHeight="1" x14ac:dyDescent="0.2"/>
    <row r="226" ht="12.2" customHeight="1" x14ac:dyDescent="0.2"/>
  </sheetData>
  <mergeCells count="4">
    <mergeCell ref="B1:M1"/>
    <mergeCell ref="B2:M2"/>
    <mergeCell ref="B3:M3"/>
    <mergeCell ref="B4:M4"/>
  </mergeCells>
  <pageMargins left="0.09" right="0" top="0.5" bottom="0.5" header="0.25" footer="0.25"/>
  <pageSetup scale="77" firstPageNumber="38" fitToHeight="0"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pageSetUpPr fitToPage="1"/>
  </sheetPr>
  <dimension ref="A1:G52"/>
  <sheetViews>
    <sheetView showGridLines="0" zoomScaleNormal="100" workbookViewId="0">
      <selection activeCell="D16" sqref="D16:F16"/>
    </sheetView>
  </sheetViews>
  <sheetFormatPr defaultColWidth="8" defaultRowHeight="12.75" x14ac:dyDescent="0.2"/>
  <cols>
    <col min="1" max="1" width="1.42578125" style="313" customWidth="1"/>
    <col min="2" max="2" width="53.28515625" style="313" customWidth="1"/>
    <col min="3" max="3" width="14" style="1169" customWidth="1"/>
    <col min="4" max="4" width="16.7109375" style="1169" customWidth="1"/>
    <col min="5" max="5" width="7.5703125" style="313" customWidth="1"/>
    <col min="6" max="6" width="2.7109375" style="313" customWidth="1"/>
    <col min="7" max="7" width="3.28515625" style="313" customWidth="1"/>
    <col min="8" max="16384" width="8" style="313"/>
  </cols>
  <sheetData>
    <row r="1" spans="1:7" ht="13.5" customHeight="1" x14ac:dyDescent="0.2">
      <c r="A1" s="2518" t="str">
        <f>'Single Audit Cover'!A7</f>
        <v>Champaign Community Unit School District 4</v>
      </c>
      <c r="B1" s="2518"/>
      <c r="C1" s="2518"/>
      <c r="D1" s="2518"/>
      <c r="E1" s="2518"/>
      <c r="F1" s="2518"/>
    </row>
    <row r="2" spans="1:7" ht="13.5" customHeight="1" x14ac:dyDescent="0.2">
      <c r="A2" s="2506">
        <f>'Single Audit Cover'!E7</f>
        <v>9010004026</v>
      </c>
      <c r="B2" s="2506"/>
      <c r="C2" s="2506"/>
      <c r="D2" s="2506"/>
      <c r="E2" s="2506"/>
      <c r="F2" s="2506"/>
      <c r="G2" s="1186"/>
    </row>
    <row r="3" spans="1:7" ht="15.75" customHeight="1" x14ac:dyDescent="0.2">
      <c r="A3" s="2519" t="s">
        <v>1332</v>
      </c>
      <c r="B3" s="2519"/>
      <c r="C3" s="2519"/>
      <c r="D3" s="2519"/>
      <c r="E3" s="2519"/>
      <c r="F3" s="2519"/>
    </row>
    <row r="4" spans="1:7" ht="13.5" customHeight="1" x14ac:dyDescent="0.2">
      <c r="A4" s="2520" t="str">
        <f>'Single Audit Cover'!A4</f>
        <v>Year Ending June 30, 2018</v>
      </c>
      <c r="B4" s="2520"/>
      <c r="C4" s="2520"/>
      <c r="D4" s="2520"/>
      <c r="E4" s="2520"/>
      <c r="F4" s="2520"/>
    </row>
    <row r="5" spans="1:7" ht="8.25" customHeight="1" x14ac:dyDescent="0.2">
      <c r="C5" s="313"/>
      <c r="D5" s="313"/>
    </row>
    <row r="6" spans="1:7" ht="13.5" customHeight="1" x14ac:dyDescent="0.2">
      <c r="A6" s="1187" t="s">
        <v>1830</v>
      </c>
      <c r="C6" s="313"/>
      <c r="D6" s="313"/>
    </row>
    <row r="7" spans="1:7" ht="60.95" customHeight="1" x14ac:dyDescent="0.2">
      <c r="A7" s="2517" t="s">
        <v>2278</v>
      </c>
      <c r="B7" s="2517"/>
      <c r="C7" s="2517"/>
      <c r="D7" s="2517"/>
      <c r="E7" s="2517"/>
      <c r="F7" s="2517"/>
    </row>
    <row r="8" spans="1:7" ht="12" customHeight="1" x14ac:dyDescent="0.2">
      <c r="A8" s="1187"/>
      <c r="B8" s="1193"/>
      <c r="C8" s="1193"/>
      <c r="D8" s="1193"/>
    </row>
    <row r="9" spans="1:7" ht="15" customHeight="1" x14ac:dyDescent="0.2">
      <c r="A9" s="1188" t="s">
        <v>1831</v>
      </c>
      <c r="B9" s="1191"/>
      <c r="C9" s="1191"/>
      <c r="D9" s="1191"/>
      <c r="E9" s="1189"/>
      <c r="F9" s="1189"/>
      <c r="G9" s="1189"/>
    </row>
    <row r="10" spans="1:7" ht="15" customHeight="1" x14ac:dyDescent="0.2">
      <c r="A10" s="1190" t="s">
        <v>1627</v>
      </c>
      <c r="B10" s="1191"/>
      <c r="C10" s="1192"/>
      <c r="D10" s="1191" t="s">
        <v>1628</v>
      </c>
      <c r="E10" s="1192" t="s">
        <v>2086</v>
      </c>
      <c r="F10" s="1191" t="s">
        <v>101</v>
      </c>
      <c r="G10" s="1189"/>
    </row>
    <row r="11" spans="1:7" ht="12" customHeight="1" x14ac:dyDescent="0.2">
      <c r="A11" s="1190"/>
      <c r="B11" s="1191"/>
      <c r="C11" s="1787"/>
      <c r="D11" s="1191"/>
      <c r="E11" s="1787"/>
      <c r="F11" s="1191"/>
      <c r="G11" s="1189"/>
    </row>
    <row r="12" spans="1:7" x14ac:dyDescent="0.2">
      <c r="A12" s="1187" t="s">
        <v>1668</v>
      </c>
      <c r="C12" s="1171"/>
      <c r="D12" s="1171"/>
    </row>
    <row r="13" spans="1:7" ht="21.6" customHeight="1" x14ac:dyDescent="0.2">
      <c r="A13" s="2517" t="s">
        <v>2279</v>
      </c>
      <c r="B13" s="2517"/>
      <c r="C13" s="2517"/>
      <c r="D13" s="2517"/>
      <c r="E13" s="2517"/>
      <c r="F13" s="2517"/>
    </row>
    <row r="14" spans="1:7" ht="11.45" customHeight="1" x14ac:dyDescent="0.2">
      <c r="C14" s="1171"/>
      <c r="D14" s="1171"/>
    </row>
    <row r="15" spans="1:7" ht="13.5" customHeight="1" x14ac:dyDescent="0.2">
      <c r="C15" s="1731" t="s">
        <v>1331</v>
      </c>
      <c r="D15" s="2515" t="s">
        <v>1330</v>
      </c>
      <c r="E15" s="2515"/>
      <c r="F15" s="2515"/>
    </row>
    <row r="16" spans="1:7" ht="13.5" customHeight="1" x14ac:dyDescent="0.2">
      <c r="A16" s="1193"/>
      <c r="B16" s="1187" t="s">
        <v>1329</v>
      </c>
      <c r="C16" s="1731" t="s">
        <v>1328</v>
      </c>
      <c r="D16" s="2516" t="s">
        <v>1669</v>
      </c>
      <c r="E16" s="2516"/>
      <c r="F16" s="2516"/>
    </row>
    <row r="17" spans="1:6" ht="20.45" customHeight="1" x14ac:dyDescent="0.2">
      <c r="A17" s="1194"/>
      <c r="B17" s="1195" t="s">
        <v>2280</v>
      </c>
      <c r="C17" s="1196"/>
      <c r="D17" s="2510"/>
      <c r="E17" s="2510"/>
      <c r="F17" s="2510"/>
    </row>
    <row r="18" spans="1:6" ht="20.65" customHeight="1" x14ac:dyDescent="0.2">
      <c r="A18" s="1194"/>
      <c r="B18" s="1195"/>
      <c r="C18" s="1196"/>
      <c r="D18" s="2510"/>
      <c r="E18" s="2510"/>
      <c r="F18" s="2510"/>
    </row>
    <row r="19" spans="1:6" ht="20.65" customHeight="1" x14ac:dyDescent="0.2">
      <c r="A19" s="1194"/>
      <c r="B19" s="1195"/>
      <c r="C19" s="1196"/>
      <c r="D19" s="2510"/>
      <c r="E19" s="2510"/>
      <c r="F19" s="2510"/>
    </row>
    <row r="20" spans="1:6" ht="20.65" customHeight="1" x14ac:dyDescent="0.2">
      <c r="A20" s="1194"/>
      <c r="B20" s="1195"/>
      <c r="C20" s="1196"/>
      <c r="D20" s="2510"/>
      <c r="E20" s="2510"/>
      <c r="F20" s="2510"/>
    </row>
    <row r="21" spans="1:6" ht="20.65" customHeight="1" x14ac:dyDescent="0.2">
      <c r="A21" s="1194"/>
      <c r="B21" s="1195"/>
      <c r="C21" s="1196"/>
      <c r="D21" s="2510"/>
      <c r="E21" s="2510"/>
      <c r="F21" s="2510"/>
    </row>
    <row r="22" spans="1:6" ht="20.65" customHeight="1" x14ac:dyDescent="0.2">
      <c r="A22" s="1194"/>
      <c r="B22" s="1195"/>
      <c r="C22" s="1196"/>
      <c r="D22" s="2510"/>
      <c r="E22" s="2510"/>
      <c r="F22" s="2510"/>
    </row>
    <row r="23" spans="1:6" ht="20.65" customHeight="1" x14ac:dyDescent="0.2">
      <c r="A23" s="1194"/>
      <c r="B23" s="1195"/>
      <c r="C23" s="1196"/>
      <c r="D23" s="2510"/>
      <c r="E23" s="2510"/>
      <c r="F23" s="2510"/>
    </row>
    <row r="24" spans="1:6" ht="20.65" customHeight="1" x14ac:dyDescent="0.2">
      <c r="A24" s="1194"/>
      <c r="B24" s="1195"/>
      <c r="C24" s="1196"/>
      <c r="D24" s="2510"/>
      <c r="E24" s="2510"/>
      <c r="F24" s="2510"/>
    </row>
    <row r="25" spans="1:6" ht="20.65" customHeight="1" x14ac:dyDescent="0.2">
      <c r="A25" s="1194"/>
      <c r="B25" s="1195"/>
      <c r="C25" s="1196"/>
      <c r="D25" s="2510"/>
      <c r="E25" s="2510"/>
      <c r="F25" s="2510"/>
    </row>
    <row r="26" spans="1:6" ht="20.65" customHeight="1" x14ac:dyDescent="0.2">
      <c r="A26" s="1194"/>
      <c r="B26" s="1195"/>
      <c r="C26" s="1196"/>
      <c r="D26" s="2510"/>
      <c r="E26" s="2510"/>
      <c r="F26" s="2510"/>
    </row>
    <row r="27" spans="1:6" ht="20.65" customHeight="1" x14ac:dyDescent="0.2">
      <c r="A27" s="1194"/>
      <c r="B27" s="1195"/>
      <c r="C27" s="1196"/>
      <c r="D27" s="2510"/>
      <c r="E27" s="2510"/>
      <c r="F27" s="2510"/>
    </row>
    <row r="28" spans="1:6" ht="20.65" customHeight="1" x14ac:dyDescent="0.2">
      <c r="A28" s="1194"/>
      <c r="B28" s="1195"/>
      <c r="C28" s="1196"/>
      <c r="D28" s="2510"/>
      <c r="E28" s="2510"/>
      <c r="F28" s="2510"/>
    </row>
    <row r="29" spans="1:6" ht="20.65" customHeight="1" x14ac:dyDescent="0.2">
      <c r="A29" s="1194"/>
      <c r="B29" s="1195"/>
      <c r="C29" s="1196"/>
      <c r="D29" s="2510"/>
      <c r="E29" s="2510"/>
      <c r="F29" s="2510"/>
    </row>
    <row r="30" spans="1:6" ht="12" customHeight="1" x14ac:dyDescent="0.2">
      <c r="A30" s="324"/>
      <c r="B30" s="324"/>
      <c r="C30" s="1383"/>
      <c r="D30" s="1788"/>
      <c r="E30" s="1197"/>
    </row>
    <row r="31" spans="1:6" ht="12" customHeight="1" x14ac:dyDescent="0.2">
      <c r="A31" s="1198" t="s">
        <v>1629</v>
      </c>
      <c r="B31" s="324"/>
      <c r="C31" s="1383"/>
      <c r="D31" s="1788"/>
      <c r="E31" s="1197"/>
    </row>
    <row r="32" spans="1:6" ht="30" customHeight="1" x14ac:dyDescent="0.2">
      <c r="A32" s="2511" t="s">
        <v>2277</v>
      </c>
      <c r="B32" s="2511"/>
      <c r="C32" s="2511"/>
      <c r="D32" s="2511"/>
      <c r="E32" s="2511"/>
      <c r="F32" s="2511"/>
    </row>
    <row r="33" spans="1:6" ht="13.5" customHeight="1" x14ac:dyDescent="0.2">
      <c r="A33" s="324" t="s">
        <v>1508</v>
      </c>
      <c r="B33" s="324"/>
      <c r="C33" s="1199">
        <v>338639</v>
      </c>
      <c r="D33" s="1788"/>
      <c r="E33" s="1197"/>
    </row>
    <row r="34" spans="1:6" ht="13.5" customHeight="1" x14ac:dyDescent="0.2">
      <c r="A34" s="324" t="s">
        <v>1945</v>
      </c>
      <c r="B34" s="324"/>
      <c r="C34" s="1200">
        <v>0</v>
      </c>
      <c r="D34" s="1788" t="s">
        <v>1670</v>
      </c>
      <c r="E34" s="2512">
        <f>+C33+C34</f>
        <v>338639</v>
      </c>
      <c r="F34" s="2513"/>
    </row>
    <row r="35" spans="1:6" ht="12" customHeight="1" x14ac:dyDescent="0.2">
      <c r="A35" s="324"/>
      <c r="B35" s="324"/>
      <c r="C35" s="1789"/>
      <c r="D35" s="1788"/>
      <c r="E35" s="1201"/>
      <c r="F35" s="1202"/>
    </row>
    <row r="36" spans="1:6" ht="13.5" customHeight="1" x14ac:dyDescent="0.2">
      <c r="A36" s="1198" t="s">
        <v>1630</v>
      </c>
      <c r="B36" s="324"/>
      <c r="C36" s="1383"/>
      <c r="D36" s="1788"/>
      <c r="E36" s="1197"/>
    </row>
    <row r="37" spans="1:6" ht="14.25" customHeight="1" x14ac:dyDescent="0.2">
      <c r="A37" s="324" t="s">
        <v>1562</v>
      </c>
      <c r="B37" s="324"/>
      <c r="C37" s="1790"/>
      <c r="D37" s="1788"/>
      <c r="E37" s="1197"/>
    </row>
    <row r="38" spans="1:6" ht="14.25" customHeight="1" x14ac:dyDescent="0.2">
      <c r="A38" s="324"/>
      <c r="B38" s="324" t="s">
        <v>1509</v>
      </c>
      <c r="C38" s="1203">
        <v>0</v>
      </c>
      <c r="D38" s="1788"/>
      <c r="E38" s="1197"/>
    </row>
    <row r="39" spans="1:6" ht="14.25" customHeight="1" x14ac:dyDescent="0.2">
      <c r="A39" s="324"/>
      <c r="B39" s="324" t="s">
        <v>1510</v>
      </c>
      <c r="C39" s="1203">
        <v>0</v>
      </c>
      <c r="D39" s="1788"/>
      <c r="E39" s="1197"/>
    </row>
    <row r="40" spans="1:6" ht="14.25" customHeight="1" x14ac:dyDescent="0.2">
      <c r="A40" s="324"/>
      <c r="B40" s="324" t="s">
        <v>1511</v>
      </c>
      <c r="C40" s="1203">
        <v>0</v>
      </c>
      <c r="D40" s="1788"/>
      <c r="E40" s="1197"/>
    </row>
    <row r="41" spans="1:6" ht="14.25" customHeight="1" x14ac:dyDescent="0.2">
      <c r="A41" s="324"/>
      <c r="B41" s="324" t="s">
        <v>1512</v>
      </c>
      <c r="C41" s="1203">
        <v>0</v>
      </c>
      <c r="D41" s="1788"/>
      <c r="E41" s="1197"/>
    </row>
    <row r="42" spans="1:6" ht="14.25" customHeight="1" x14ac:dyDescent="0.2">
      <c r="A42" s="324" t="s">
        <v>1513</v>
      </c>
      <c r="B42" s="324"/>
      <c r="C42" s="1786">
        <v>0</v>
      </c>
      <c r="D42" s="1788"/>
      <c r="E42" s="1197"/>
    </row>
    <row r="43" spans="1:6" ht="14.25" customHeight="1" x14ac:dyDescent="0.2">
      <c r="A43" s="324" t="s">
        <v>1514</v>
      </c>
      <c r="B43" s="324"/>
      <c r="C43" s="1204" t="s">
        <v>400</v>
      </c>
      <c r="D43" s="1788"/>
      <c r="E43" s="1197"/>
    </row>
    <row r="44" spans="1:6" ht="14.25" customHeight="1" x14ac:dyDescent="0.2">
      <c r="A44" s="324"/>
      <c r="B44" s="324"/>
      <c r="C44" s="1790" t="s">
        <v>1515</v>
      </c>
      <c r="D44" s="1788"/>
      <c r="E44" s="1197"/>
    </row>
    <row r="45" spans="1:6" ht="13.5" customHeight="1" x14ac:dyDescent="0.2">
      <c r="B45" s="318"/>
      <c r="C45" s="1205"/>
      <c r="D45" s="1205"/>
    </row>
    <row r="46" spans="1:6" x14ac:dyDescent="0.2">
      <c r="A46" s="1206" t="s">
        <v>1832</v>
      </c>
      <c r="C46" s="313"/>
      <c r="D46" s="313"/>
    </row>
    <row r="47" spans="1:6" s="318" customFormat="1" ht="11.25" customHeight="1" x14ac:dyDescent="0.2">
      <c r="A47" s="1207"/>
      <c r="B47" s="1208"/>
      <c r="C47" s="1208"/>
      <c r="D47" s="1208"/>
      <c r="E47" s="1208"/>
      <c r="F47" s="1208"/>
    </row>
    <row r="48" spans="1:6" s="318" customFormat="1" ht="6" customHeight="1" x14ac:dyDescent="0.2">
      <c r="A48" s="1209"/>
    </row>
    <row r="49" spans="1:5" s="1211" customFormat="1" ht="23.25" customHeight="1" x14ac:dyDescent="0.2">
      <c r="A49" s="1210">
        <v>5</v>
      </c>
      <c r="B49" s="2514" t="s">
        <v>1671</v>
      </c>
      <c r="C49" s="2514"/>
      <c r="D49" s="2514"/>
      <c r="E49" s="1304"/>
    </row>
    <row r="50" spans="1:5" s="1211" customFormat="1" ht="3.75" customHeight="1" x14ac:dyDescent="0.2">
      <c r="A50" s="1210"/>
      <c r="B50" s="1730"/>
      <c r="C50" s="1730"/>
      <c r="D50" s="1730"/>
      <c r="E50" s="1304"/>
    </row>
    <row r="51" spans="1:5" s="1211" customFormat="1" ht="20.25" customHeight="1" x14ac:dyDescent="0.2">
      <c r="A51" s="1212">
        <v>6</v>
      </c>
      <c r="B51" s="2509" t="s">
        <v>1631</v>
      </c>
      <c r="C51" s="2509"/>
      <c r="D51" s="2509"/>
    </row>
    <row r="52" spans="1:5" ht="14.25" customHeight="1" x14ac:dyDescent="0.2">
      <c r="A52" s="1212"/>
      <c r="B52" s="2509"/>
      <c r="C52" s="2509"/>
      <c r="D52" s="2509"/>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63"/>
  <sheetViews>
    <sheetView showGridLines="0" zoomScale="110" zoomScaleNormal="110" workbookViewId="0">
      <selection activeCell="P15" sqref="P15"/>
    </sheetView>
  </sheetViews>
  <sheetFormatPr defaultColWidth="9.140625" defaultRowHeight="12.75" x14ac:dyDescent="0.2"/>
  <cols>
    <col min="1" max="1" width="1.42578125" style="1211" customWidth="1"/>
    <col min="2" max="2" width="24.42578125" style="1262" customWidth="1"/>
    <col min="3" max="3" width="29.5703125" style="313" customWidth="1"/>
    <col min="4" max="4" width="9.28515625" style="313" customWidth="1"/>
    <col min="5" max="5" width="5.28515625" style="1169"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532" t="str">
        <f>'Single Audit Cover'!A7</f>
        <v>Champaign Community Unit School District 4</v>
      </c>
      <c r="C1" s="2533"/>
      <c r="D1" s="2533"/>
      <c r="E1" s="2533"/>
      <c r="F1" s="2533"/>
      <c r="G1" s="2533"/>
      <c r="H1" s="2533"/>
      <c r="I1" s="2533"/>
      <c r="J1" s="1327"/>
    </row>
    <row r="2" spans="2:10" s="313" customFormat="1" ht="12.75" customHeight="1" x14ac:dyDescent="0.2">
      <c r="B2" s="2534">
        <f>'Single Audit Cover'!E7</f>
        <v>9010004026</v>
      </c>
      <c r="C2" s="2535"/>
      <c r="D2" s="2535"/>
      <c r="E2" s="2535"/>
      <c r="F2" s="2535"/>
      <c r="G2" s="2535"/>
      <c r="H2" s="2535"/>
      <c r="I2" s="2535"/>
      <c r="J2" s="1327"/>
    </row>
    <row r="3" spans="2:10" s="313" customFormat="1" ht="12.75" customHeight="1" x14ac:dyDescent="0.2">
      <c r="B3" s="2536" t="s">
        <v>1346</v>
      </c>
      <c r="C3" s="2537"/>
      <c r="D3" s="2537"/>
      <c r="E3" s="2537"/>
      <c r="F3" s="2537"/>
      <c r="G3" s="2537"/>
      <c r="H3" s="2537"/>
      <c r="I3" s="2537"/>
      <c r="J3" s="1328"/>
    </row>
    <row r="4" spans="2:10" s="313" customFormat="1" ht="12.75" customHeight="1" x14ac:dyDescent="0.2">
      <c r="B4" s="2536" t="str">
        <f>'Single Audit Cover'!A4</f>
        <v>Year Ending June 30, 2018</v>
      </c>
      <c r="C4" s="2537"/>
      <c r="D4" s="2537"/>
      <c r="E4" s="2537"/>
      <c r="F4" s="2537"/>
      <c r="G4" s="2537"/>
      <c r="H4" s="2537"/>
      <c r="I4" s="2537"/>
    </row>
    <row r="5" spans="2:10" s="313" customFormat="1" ht="6.2" customHeight="1" x14ac:dyDescent="0.2">
      <c r="B5" s="1329" t="s">
        <v>1230</v>
      </c>
      <c r="C5" s="1205"/>
      <c r="D5" s="1205"/>
      <c r="E5" s="1288"/>
      <c r="F5" s="318"/>
      <c r="G5" s="318"/>
      <c r="H5" s="318"/>
      <c r="I5" s="318"/>
    </row>
    <row r="6" spans="2:10" s="313" customFormat="1" ht="6.2" customHeight="1" x14ac:dyDescent="0.2">
      <c r="B6" s="1330"/>
      <c r="C6" s="1284"/>
      <c r="D6" s="1284"/>
      <c r="E6" s="1285"/>
      <c r="F6" s="1284"/>
      <c r="G6" s="1284"/>
      <c r="H6" s="1284"/>
      <c r="I6" s="1284"/>
    </row>
    <row r="7" spans="2:10" s="313" customFormat="1" ht="13.5" customHeight="1" x14ac:dyDescent="0.2">
      <c r="B7" s="2536" t="s">
        <v>1345</v>
      </c>
      <c r="C7" s="2537"/>
      <c r="D7" s="2537"/>
      <c r="E7" s="2537"/>
      <c r="F7" s="2537"/>
      <c r="G7" s="2537"/>
      <c r="H7" s="2537"/>
      <c r="I7" s="2537"/>
    </row>
    <row r="8" spans="2:10" s="313" customFormat="1" ht="6.2" customHeight="1" x14ac:dyDescent="0.2">
      <c r="B8" s="1331" t="s">
        <v>1230</v>
      </c>
      <c r="C8" s="1332"/>
      <c r="D8" s="1332"/>
      <c r="E8" s="1333"/>
      <c r="F8" s="1332"/>
      <c r="G8" s="1332"/>
      <c r="H8" s="1332"/>
      <c r="I8" s="1332"/>
    </row>
    <row r="9" spans="2:10" s="313" customFormat="1" ht="9" customHeight="1" x14ac:dyDescent="0.2">
      <c r="B9" s="1334"/>
      <c r="C9" s="318"/>
      <c r="D9" s="318"/>
      <c r="E9" s="1288"/>
      <c r="F9" s="318"/>
      <c r="G9" s="318"/>
      <c r="H9" s="318"/>
      <c r="I9" s="318"/>
    </row>
    <row r="10" spans="2:10" s="313" customFormat="1" ht="12.75" customHeight="1" x14ac:dyDescent="0.2">
      <c r="B10" s="1335" t="s">
        <v>1344</v>
      </c>
      <c r="C10" s="1336"/>
      <c r="D10" s="1336"/>
      <c r="E10" s="1169"/>
    </row>
    <row r="11" spans="2:10" s="313" customFormat="1" ht="13.5" customHeight="1" x14ac:dyDescent="0.2">
      <c r="B11" s="1254" t="s">
        <v>1343</v>
      </c>
      <c r="C11" s="2538" t="s">
        <v>2193</v>
      </c>
      <c r="D11" s="2538"/>
      <c r="E11" s="1337"/>
      <c r="F11" s="1337"/>
      <c r="G11" s="1337"/>
    </row>
    <row r="12" spans="2:10" s="313" customFormat="1" ht="11.45" customHeight="1" x14ac:dyDescent="0.2">
      <c r="B12" s="1262"/>
      <c r="C12" s="1338" t="s">
        <v>1516</v>
      </c>
      <c r="D12" s="1339"/>
      <c r="E12" s="1169"/>
    </row>
    <row r="13" spans="2:10" s="313" customFormat="1" ht="12.75" customHeight="1" x14ac:dyDescent="0.2">
      <c r="B13" s="1340"/>
      <c r="C13" s="1292"/>
      <c r="D13" s="1292"/>
      <c r="E13" s="1169"/>
    </row>
    <row r="14" spans="2:10" s="313" customFormat="1" ht="12.75" customHeight="1" x14ac:dyDescent="0.2">
      <c r="B14" s="1273" t="s">
        <v>1342</v>
      </c>
      <c r="C14" s="1193"/>
      <c r="E14" s="1169"/>
    </row>
    <row r="15" spans="2:10" s="313" customFormat="1" ht="13.5" customHeight="1" x14ac:dyDescent="0.2">
      <c r="B15" s="1341" t="s">
        <v>1339</v>
      </c>
      <c r="C15" s="1342"/>
      <c r="D15" s="1303"/>
      <c r="E15" s="1343" t="s">
        <v>2086</v>
      </c>
      <c r="F15" s="1211" t="s">
        <v>939</v>
      </c>
      <c r="G15" s="1343"/>
      <c r="H15" s="1211" t="s">
        <v>1337</v>
      </c>
      <c r="I15" s="1211"/>
    </row>
    <row r="16" spans="2:10" s="313" customFormat="1" ht="8.4499999999999993" customHeight="1" x14ac:dyDescent="0.2">
      <c r="B16" s="1273"/>
      <c r="C16" s="1193"/>
      <c r="E16" s="1288"/>
      <c r="F16" s="1211"/>
      <c r="G16" s="318"/>
      <c r="H16" s="1211"/>
      <c r="I16" s="1211"/>
    </row>
    <row r="17" spans="2:9" s="313" customFormat="1" ht="13.5" customHeight="1" x14ac:dyDescent="0.2">
      <c r="B17" s="1341" t="s">
        <v>1338</v>
      </c>
      <c r="C17" s="1342"/>
      <c r="D17" s="1303"/>
      <c r="E17" s="1344"/>
      <c r="F17" s="1168"/>
      <c r="G17" s="1344"/>
      <c r="H17" s="1211"/>
      <c r="I17" s="1211"/>
    </row>
    <row r="18" spans="2:9" s="313" customFormat="1" ht="12.75" customHeight="1" x14ac:dyDescent="0.2">
      <c r="B18" s="1341" t="s">
        <v>1517</v>
      </c>
      <c r="C18" s="1342"/>
      <c r="D18" s="1303"/>
      <c r="E18" s="1343" t="s">
        <v>2086</v>
      </c>
      <c r="F18" s="1211" t="s">
        <v>939</v>
      </c>
      <c r="G18" s="1343"/>
      <c r="H18" s="1211" t="s">
        <v>1337</v>
      </c>
      <c r="I18" s="1211"/>
    </row>
    <row r="19" spans="2:9" s="313" customFormat="1" ht="8.4499999999999993" customHeight="1" x14ac:dyDescent="0.2">
      <c r="B19" s="1273"/>
      <c r="C19" s="1193"/>
      <c r="E19" s="1288"/>
      <c r="F19" s="1211"/>
      <c r="G19" s="318"/>
      <c r="H19" s="1211"/>
      <c r="I19" s="1211"/>
    </row>
    <row r="20" spans="2:9" s="313" customFormat="1" ht="13.5" customHeight="1" x14ac:dyDescent="0.2">
      <c r="B20" s="1341" t="s">
        <v>1672</v>
      </c>
      <c r="C20" s="1342"/>
      <c r="D20" s="1303"/>
      <c r="E20" s="1343"/>
      <c r="F20" s="1211" t="s">
        <v>939</v>
      </c>
      <c r="G20" s="1343" t="s">
        <v>2086</v>
      </c>
      <c r="H20" s="1211" t="s">
        <v>101</v>
      </c>
      <c r="I20" s="1211"/>
    </row>
    <row r="21" spans="2:9" s="313" customFormat="1" ht="12.75" customHeight="1" x14ac:dyDescent="0.2">
      <c r="B21" s="1273"/>
      <c r="C21" s="1193"/>
      <c r="E21" s="1288"/>
      <c r="F21" s="1211"/>
      <c r="G21" s="318"/>
      <c r="H21" s="1211"/>
      <c r="I21" s="1211"/>
    </row>
    <row r="22" spans="2:9" s="313" customFormat="1" ht="12.75" customHeight="1" x14ac:dyDescent="0.2">
      <c r="B22" s="1335" t="s">
        <v>1341</v>
      </c>
      <c r="C22" s="1345"/>
      <c r="D22" s="1336"/>
      <c r="E22" s="1288"/>
      <c r="F22" s="1211"/>
      <c r="G22" s="318"/>
      <c r="H22" s="1211"/>
      <c r="I22" s="1211"/>
    </row>
    <row r="23" spans="2:9" s="313" customFormat="1" ht="12.75" customHeight="1" x14ac:dyDescent="0.2">
      <c r="B23" s="1273" t="s">
        <v>1340</v>
      </c>
      <c r="C23" s="1193"/>
      <c r="E23" s="1288"/>
      <c r="F23" s="1211"/>
      <c r="G23" s="318"/>
      <c r="H23" s="1211"/>
      <c r="I23" s="1211"/>
    </row>
    <row r="24" spans="2:9" s="313" customFormat="1" ht="13.5" customHeight="1" x14ac:dyDescent="0.2">
      <c r="B24" s="1341" t="s">
        <v>1339</v>
      </c>
      <c r="C24" s="1342"/>
      <c r="D24" s="1303"/>
      <c r="E24" s="1343"/>
      <c r="F24" s="1211" t="s">
        <v>939</v>
      </c>
      <c r="G24" s="1343" t="s">
        <v>2086</v>
      </c>
      <c r="H24" s="1211" t="s">
        <v>1337</v>
      </c>
      <c r="I24" s="1211"/>
    </row>
    <row r="25" spans="2:9" s="313" customFormat="1" ht="8.4499999999999993" customHeight="1" x14ac:dyDescent="0.2">
      <c r="B25" s="1273"/>
      <c r="C25" s="1193"/>
      <c r="E25" s="1288"/>
      <c r="F25" s="1211"/>
      <c r="G25" s="318"/>
      <c r="H25" s="1211"/>
      <c r="I25" s="1211"/>
    </row>
    <row r="26" spans="2:9" s="313" customFormat="1" ht="13.5" customHeight="1" x14ac:dyDescent="0.2">
      <c r="B26" s="1341" t="s">
        <v>1338</v>
      </c>
      <c r="C26" s="1342"/>
      <c r="D26" s="1303"/>
      <c r="E26" s="1344"/>
      <c r="F26" s="1168"/>
      <c r="G26" s="1344"/>
      <c r="H26" s="1211"/>
      <c r="I26" s="1211"/>
    </row>
    <row r="27" spans="2:9" s="313" customFormat="1" ht="12.75" customHeight="1" x14ac:dyDescent="0.2">
      <c r="B27" s="1341" t="s">
        <v>1517</v>
      </c>
      <c r="C27" s="1342"/>
      <c r="D27" s="1303"/>
      <c r="E27" s="1343"/>
      <c r="F27" s="1211" t="s">
        <v>939</v>
      </c>
      <c r="G27" s="1343" t="s">
        <v>2086</v>
      </c>
      <c r="H27" s="1211" t="s">
        <v>1337</v>
      </c>
      <c r="I27" s="1211"/>
    </row>
    <row r="28" spans="2:9" s="313" customFormat="1" ht="12.75" customHeight="1" x14ac:dyDescent="0.2">
      <c r="B28" s="1273"/>
      <c r="C28" s="1193"/>
      <c r="E28" s="1169"/>
    </row>
    <row r="29" spans="2:9" s="313" customFormat="1" ht="12.75" customHeight="1" x14ac:dyDescent="0.2">
      <c r="B29" s="1273" t="s">
        <v>1336</v>
      </c>
      <c r="C29" s="1193"/>
      <c r="D29" s="2539" t="s">
        <v>2193</v>
      </c>
      <c r="E29" s="2539"/>
      <c r="F29" s="2539"/>
      <c r="G29" s="2539"/>
      <c r="H29" s="2539"/>
      <c r="I29" s="2539"/>
    </row>
    <row r="30" spans="2:9" s="313" customFormat="1" x14ac:dyDescent="0.2">
      <c r="B30" s="1273"/>
      <c r="C30" s="318"/>
      <c r="D30" s="1338" t="s">
        <v>1847</v>
      </c>
      <c r="E30" s="1339"/>
      <c r="F30" s="1339"/>
      <c r="G30" s="1339"/>
      <c r="H30" s="1339"/>
      <c r="I30" s="1339"/>
    </row>
    <row r="31" spans="2:9" s="313" customFormat="1" ht="9.9499999999999993" customHeight="1" x14ac:dyDescent="0.2">
      <c r="B31" s="1273"/>
      <c r="E31" s="1169"/>
    </row>
    <row r="32" spans="2:9" s="313" customFormat="1" x14ac:dyDescent="0.2">
      <c r="B32" s="1273" t="s">
        <v>1335</v>
      </c>
      <c r="C32" s="1193"/>
      <c r="E32" s="1169"/>
    </row>
    <row r="33" spans="2:9" ht="13.5" customHeight="1" x14ac:dyDescent="0.2">
      <c r="B33" s="1273" t="s">
        <v>1632</v>
      </c>
      <c r="C33" s="1193"/>
      <c r="E33" s="1343"/>
      <c r="F33" s="1211" t="s">
        <v>939</v>
      </c>
      <c r="G33" s="1343" t="s">
        <v>2086</v>
      </c>
      <c r="H33" s="1211" t="s">
        <v>101</v>
      </c>
    </row>
    <row r="35" spans="2:9" x14ac:dyDescent="0.2">
      <c r="B35" s="1346" t="s">
        <v>1848</v>
      </c>
      <c r="C35" s="1347"/>
      <c r="D35" s="1178"/>
    </row>
    <row r="36" spans="2:9" ht="6" customHeight="1" x14ac:dyDescent="0.2">
      <c r="B36" s="1346"/>
      <c r="C36" s="1347"/>
      <c r="D36" s="1178"/>
    </row>
    <row r="37" spans="2:9" ht="17.25" customHeight="1" x14ac:dyDescent="0.2">
      <c r="B37" s="1348" t="s">
        <v>1849</v>
      </c>
      <c r="C37" s="2540" t="s">
        <v>1850</v>
      </c>
      <c r="D37" s="2541"/>
      <c r="E37" s="2541"/>
      <c r="F37" s="2542"/>
      <c r="G37" s="2540" t="s">
        <v>1673</v>
      </c>
      <c r="H37" s="2541"/>
      <c r="I37" s="2542"/>
    </row>
    <row r="38" spans="2:9" ht="16.5" customHeight="1" x14ac:dyDescent="0.2">
      <c r="B38" s="1349" t="s">
        <v>2196</v>
      </c>
      <c r="C38" s="2528" t="s">
        <v>2194</v>
      </c>
      <c r="D38" s="2529"/>
      <c r="E38" s="2529"/>
      <c r="F38" s="2530"/>
      <c r="G38" s="2543">
        <v>2994714</v>
      </c>
      <c r="H38" s="2544"/>
      <c r="I38" s="2545"/>
    </row>
    <row r="39" spans="2:9" ht="16.5" customHeight="1" x14ac:dyDescent="0.2">
      <c r="B39" s="1349" t="s">
        <v>2197</v>
      </c>
      <c r="C39" s="2528" t="s">
        <v>2195</v>
      </c>
      <c r="D39" s="2529"/>
      <c r="E39" s="2529"/>
      <c r="F39" s="2530"/>
      <c r="G39" s="2531">
        <v>3686789</v>
      </c>
      <c r="H39" s="2531"/>
      <c r="I39" s="2531"/>
    </row>
    <row r="40" spans="2:9" ht="16.5" customHeight="1" x14ac:dyDescent="0.2">
      <c r="B40" s="1349"/>
      <c r="C40" s="2528"/>
      <c r="D40" s="2529"/>
      <c r="E40" s="2529"/>
      <c r="F40" s="2530"/>
      <c r="G40" s="2531"/>
      <c r="H40" s="2531"/>
      <c r="I40" s="2531"/>
    </row>
    <row r="41" spans="2:9" ht="16.5" customHeight="1" x14ac:dyDescent="0.2">
      <c r="B41" s="1349"/>
      <c r="C41" s="2528"/>
      <c r="D41" s="2529"/>
      <c r="E41" s="2529"/>
      <c r="F41" s="2530"/>
      <c r="G41" s="2531"/>
      <c r="H41" s="2531"/>
      <c r="I41" s="2531"/>
    </row>
    <row r="42" spans="2:9" ht="16.5" customHeight="1" x14ac:dyDescent="0.2">
      <c r="B42" s="1349"/>
      <c r="C42" s="2528"/>
      <c r="D42" s="2529"/>
      <c r="E42" s="2529"/>
      <c r="F42" s="2530"/>
      <c r="G42" s="2531"/>
      <c r="H42" s="2531"/>
      <c r="I42" s="2531"/>
    </row>
    <row r="43" spans="2:9" ht="16.5" customHeight="1" x14ac:dyDescent="0.2">
      <c r="B43" s="1349"/>
      <c r="C43" s="2521" t="s">
        <v>1674</v>
      </c>
      <c r="D43" s="2522"/>
      <c r="E43" s="2522"/>
      <c r="F43" s="2523"/>
      <c r="G43" s="2524">
        <f>SUM(G38:I42)</f>
        <v>6681503</v>
      </c>
      <c r="H43" s="2524"/>
      <c r="I43" s="2524"/>
    </row>
    <row r="44" spans="2:9" ht="12.75" customHeight="1" x14ac:dyDescent="0.2"/>
    <row r="45" spans="2:9" ht="12.75" customHeight="1" x14ac:dyDescent="0.2">
      <c r="B45" s="1340" t="s">
        <v>1948</v>
      </c>
      <c r="D45" s="2525">
        <v>10656147</v>
      </c>
      <c r="E45" s="2526"/>
    </row>
    <row r="46" spans="2:9" ht="5.25" customHeight="1" x14ac:dyDescent="0.2">
      <c r="B46" s="1350"/>
      <c r="D46" s="1351"/>
      <c r="E46" s="1352"/>
    </row>
    <row r="47" spans="2:9" ht="12.75" customHeight="1" x14ac:dyDescent="0.2">
      <c r="B47" s="1211" t="s">
        <v>1675</v>
      </c>
      <c r="C47" s="1211"/>
      <c r="D47" s="1353">
        <f>+G43/D45</f>
        <v>0.62700927455298805</v>
      </c>
      <c r="E47" s="1354"/>
      <c r="F47" s="1355"/>
      <c r="I47" s="1356"/>
    </row>
    <row r="48" spans="2:9" ht="9.9499999999999993" customHeight="1" x14ac:dyDescent="0.2"/>
    <row r="49" spans="1:9" x14ac:dyDescent="0.2">
      <c r="B49" s="1273" t="s">
        <v>1334</v>
      </c>
      <c r="C49" s="1193"/>
      <c r="D49" s="1193"/>
      <c r="E49" s="2527">
        <v>750000</v>
      </c>
      <c r="F49" s="2527"/>
      <c r="G49" s="2527"/>
      <c r="H49" s="318"/>
    </row>
    <row r="50" spans="1:9" ht="7.5" customHeight="1" x14ac:dyDescent="0.2"/>
    <row r="51" spans="1:9" ht="13.5" customHeight="1" x14ac:dyDescent="0.2">
      <c r="B51" s="1273" t="s">
        <v>1333</v>
      </c>
      <c r="C51" s="1193"/>
      <c r="E51" s="1343"/>
      <c r="F51" s="1211" t="s">
        <v>939</v>
      </c>
      <c r="G51" s="1343" t="s">
        <v>2086</v>
      </c>
      <c r="H51" s="1211" t="s">
        <v>101</v>
      </c>
    </row>
    <row r="52" spans="1:9" x14ac:dyDescent="0.2">
      <c r="B52" s="1265"/>
      <c r="C52" s="1208"/>
      <c r="D52" s="1357"/>
      <c r="E52" s="1358"/>
      <c r="F52" s="1359"/>
      <c r="G52" s="1359"/>
      <c r="H52" s="1359"/>
      <c r="I52" s="1359"/>
    </row>
    <row r="53" spans="1:9" ht="6" customHeight="1" x14ac:dyDescent="0.2">
      <c r="B53" s="1334"/>
      <c r="C53" s="318"/>
      <c r="D53" s="1360"/>
      <c r="E53" s="1361"/>
      <c r="F53" s="1362"/>
      <c r="G53" s="1362"/>
      <c r="H53" s="1362"/>
      <c r="I53" s="1362"/>
    </row>
    <row r="54" spans="1:9" s="1366" customFormat="1" ht="14.25" x14ac:dyDescent="0.2">
      <c r="A54" s="1363"/>
      <c r="B54" s="1364" t="s">
        <v>1851</v>
      </c>
      <c r="C54" s="1365"/>
      <c r="D54" s="1365"/>
    </row>
    <row r="55" spans="1:9" s="1366" customFormat="1" ht="12.75" customHeight="1" x14ac:dyDescent="0.2">
      <c r="A55" s="1363"/>
      <c r="B55" s="1367" t="s">
        <v>1676</v>
      </c>
      <c r="C55" s="1363"/>
      <c r="D55" s="1363"/>
    </row>
    <row r="56" spans="1:9" s="1366" customFormat="1" ht="12.75" customHeight="1" x14ac:dyDescent="0.2">
      <c r="A56" s="1363"/>
      <c r="B56" s="1367" t="s">
        <v>1677</v>
      </c>
      <c r="C56" s="1363"/>
      <c r="D56" s="1363"/>
    </row>
    <row r="57" spans="1:9" s="1366" customFormat="1" ht="3.95" customHeight="1" x14ac:dyDescent="0.2">
      <c r="A57" s="1363"/>
      <c r="B57" s="1367"/>
      <c r="C57" s="1363"/>
      <c r="D57" s="1363"/>
    </row>
    <row r="58" spans="1:9" s="1366" customFormat="1" ht="13.5" customHeight="1" x14ac:dyDescent="0.2">
      <c r="A58" s="1363"/>
      <c r="B58" s="1368" t="s">
        <v>1852</v>
      </c>
      <c r="C58" s="1369"/>
      <c r="D58" s="1369"/>
    </row>
    <row r="59" spans="1:9" s="1366" customFormat="1" ht="3.95" customHeight="1" x14ac:dyDescent="0.2">
      <c r="A59" s="1363"/>
      <c r="B59" s="1368"/>
      <c r="C59" s="1369"/>
      <c r="D59" s="1369"/>
    </row>
    <row r="60" spans="1:9" s="1366" customFormat="1" ht="13.5" customHeight="1" x14ac:dyDescent="0.2">
      <c r="A60" s="1363"/>
      <c r="B60" s="1368" t="s">
        <v>1853</v>
      </c>
      <c r="C60" s="1369"/>
      <c r="D60" s="1369"/>
    </row>
    <row r="61" spans="1:9" s="1366" customFormat="1" ht="3.95" customHeight="1" x14ac:dyDescent="0.2">
      <c r="A61" s="1363"/>
      <c r="B61" s="1368"/>
      <c r="C61" s="1369"/>
      <c r="D61" s="1369"/>
    </row>
    <row r="62" spans="1:9" s="1366" customFormat="1" ht="12.75" customHeight="1" x14ac:dyDescent="0.2">
      <c r="A62" s="1363"/>
      <c r="B62" s="1368" t="s">
        <v>1854</v>
      </c>
      <c r="C62" s="1369"/>
      <c r="D62" s="1369"/>
    </row>
    <row r="63" spans="1:9" s="1366" customFormat="1" ht="13.5" customHeight="1" x14ac:dyDescent="0.2">
      <c r="A63" s="1363"/>
      <c r="B63" s="1367" t="s">
        <v>1678</v>
      </c>
      <c r="C63" s="1363"/>
      <c r="D63" s="1363"/>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M41"/>
  <sheetViews>
    <sheetView showGridLines="0" topLeftCell="A7" zoomScale="110" zoomScaleNormal="110" workbookViewId="0">
      <selection activeCell="B14" sqref="B14:K14"/>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69" customWidth="1"/>
    <col min="8" max="8" width="10.5703125" style="313" customWidth="1"/>
    <col min="9" max="9" width="3.42578125" style="1169"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32" t="str">
        <f>'Single Audit Cover'!A7</f>
        <v>Champaign Community Unit School District 4</v>
      </c>
      <c r="C1" s="2532"/>
      <c r="D1" s="2532"/>
      <c r="E1" s="2532"/>
      <c r="F1" s="2532"/>
      <c r="G1" s="2532"/>
      <c r="H1" s="2532"/>
      <c r="I1" s="2532"/>
      <c r="J1" s="2532"/>
      <c r="K1" s="2532"/>
      <c r="L1" s="1279"/>
      <c r="M1" s="1279"/>
    </row>
    <row r="2" spans="1:13" ht="12" customHeight="1" x14ac:dyDescent="0.2">
      <c r="B2" s="2534">
        <f>'Single Audit Cover'!E7</f>
        <v>9010004026</v>
      </c>
      <c r="C2" s="2534"/>
      <c r="D2" s="2534"/>
      <c r="E2" s="2534"/>
      <c r="F2" s="2534"/>
      <c r="G2" s="2534"/>
      <c r="H2" s="2534"/>
      <c r="I2" s="2534"/>
      <c r="J2" s="2534"/>
      <c r="K2" s="2534"/>
      <c r="L2" s="1280"/>
      <c r="M2" s="1281"/>
    </row>
    <row r="3" spans="1:13" ht="10.35" customHeight="1" x14ac:dyDescent="0.2">
      <c r="B3" s="2548" t="s">
        <v>1346</v>
      </c>
      <c r="C3" s="2548"/>
      <c r="D3" s="2548"/>
      <c r="E3" s="2548"/>
      <c r="F3" s="2548"/>
      <c r="G3" s="2548"/>
      <c r="H3" s="2548"/>
      <c r="I3" s="2548"/>
      <c r="J3" s="2548"/>
      <c r="K3" s="2548"/>
      <c r="L3" s="1282"/>
      <c r="M3" s="1282"/>
    </row>
    <row r="4" spans="1:13" ht="14.25" customHeight="1" x14ac:dyDescent="0.2">
      <c r="B4" s="2549" t="str">
        <f>'Single Audit Cover'!A4</f>
        <v>Year Ending June 30, 2018</v>
      </c>
      <c r="C4" s="2549"/>
      <c r="D4" s="2549"/>
      <c r="E4" s="2549"/>
      <c r="F4" s="2549"/>
      <c r="G4" s="2549"/>
      <c r="H4" s="2549"/>
      <c r="I4" s="2549"/>
      <c r="J4" s="2549"/>
      <c r="K4" s="2549"/>
      <c r="L4" s="309"/>
      <c r="M4" s="309"/>
    </row>
    <row r="5" spans="1:13" ht="7.5" customHeight="1" x14ac:dyDescent="0.2">
      <c r="B5" s="1171" t="s">
        <v>1230</v>
      </c>
      <c r="C5" s="1171"/>
    </row>
    <row r="6" spans="1:13" ht="7.5" customHeight="1" x14ac:dyDescent="0.2">
      <c r="B6" s="1283"/>
      <c r="C6" s="1283"/>
      <c r="D6" s="1284"/>
      <c r="E6" s="1284"/>
      <c r="F6" s="1284"/>
      <c r="G6" s="1285"/>
      <c r="H6" s="1284"/>
      <c r="I6" s="1285"/>
      <c r="J6" s="1284"/>
      <c r="K6" s="1284"/>
      <c r="L6" s="1286"/>
    </row>
    <row r="7" spans="1:13" ht="12.75" customHeight="1" x14ac:dyDescent="0.2">
      <c r="A7" s="1193"/>
      <c r="B7" s="2549" t="s">
        <v>1362</v>
      </c>
      <c r="C7" s="2549"/>
      <c r="D7" s="2550"/>
      <c r="E7" s="2550"/>
      <c r="F7" s="2550"/>
      <c r="G7" s="2550"/>
      <c r="H7" s="2550"/>
      <c r="I7" s="2550"/>
      <c r="J7" s="2550"/>
      <c r="K7" s="2550"/>
      <c r="L7" s="1287"/>
    </row>
    <row r="8" spans="1:13" ht="7.5" customHeight="1" x14ac:dyDescent="0.2">
      <c r="B8" s="318"/>
      <c r="C8" s="318"/>
      <c r="D8" s="318"/>
      <c r="E8" s="318"/>
      <c r="F8" s="318"/>
      <c r="G8" s="1288"/>
      <c r="H8" s="318"/>
      <c r="I8" s="1288"/>
      <c r="J8" s="318"/>
      <c r="K8" s="318"/>
      <c r="L8" s="1286"/>
    </row>
    <row r="9" spans="1:13" ht="9.6" customHeight="1" x14ac:dyDescent="0.2">
      <c r="B9" s="1284"/>
      <c r="C9" s="1284"/>
      <c r="D9" s="1284"/>
      <c r="E9" s="1284"/>
      <c r="F9" s="1284"/>
      <c r="G9" s="1285"/>
      <c r="H9" s="1284"/>
      <c r="I9" s="1285"/>
      <c r="J9" s="1284"/>
      <c r="K9" s="1284"/>
      <c r="L9" s="1286"/>
    </row>
    <row r="10" spans="1:13" ht="16.5" customHeight="1" x14ac:dyDescent="0.2">
      <c r="B10" s="1289" t="s">
        <v>1841</v>
      </c>
      <c r="C10" s="1290" t="s">
        <v>1949</v>
      </c>
      <c r="D10" s="1291">
        <v>1</v>
      </c>
      <c r="E10" s="318"/>
      <c r="F10" s="1292" t="s">
        <v>1361</v>
      </c>
      <c r="G10" s="1293"/>
      <c r="H10" s="1294" t="s">
        <v>1360</v>
      </c>
      <c r="I10" s="1293" t="s">
        <v>2086</v>
      </c>
      <c r="J10" s="1295" t="s">
        <v>1359</v>
      </c>
      <c r="K10" s="318"/>
      <c r="L10" s="1286"/>
    </row>
    <row r="11" spans="1:13" ht="13.5" customHeight="1" x14ac:dyDescent="0.2">
      <c r="B11" s="318"/>
      <c r="C11" s="318"/>
      <c r="D11" s="318"/>
      <c r="E11" s="318"/>
      <c r="F11" s="318"/>
      <c r="G11" s="1288"/>
      <c r="H11" s="318"/>
      <c r="I11" s="1296" t="s">
        <v>1358</v>
      </c>
      <c r="J11" s="318"/>
      <c r="K11" s="1297">
        <v>2013</v>
      </c>
      <c r="L11" s="1286"/>
    </row>
    <row r="12" spans="1:13" ht="13.5" customHeight="1" x14ac:dyDescent="0.2">
      <c r="B12" s="1205"/>
      <c r="C12" s="1205"/>
      <c r="D12" s="318"/>
      <c r="E12" s="318"/>
      <c r="F12" s="318"/>
      <c r="G12" s="1288"/>
      <c r="H12" s="318"/>
      <c r="I12" s="1288"/>
      <c r="J12" s="318"/>
      <c r="L12" s="1286"/>
    </row>
    <row r="13" spans="1:13" s="1193" customFormat="1" ht="13.5" customHeight="1" x14ac:dyDescent="0.2">
      <c r="B13" s="1298" t="s">
        <v>1357</v>
      </c>
      <c r="C13" s="1298"/>
      <c r="D13" s="1299"/>
      <c r="E13" s="1299"/>
      <c r="F13" s="1299"/>
      <c r="G13" s="1300"/>
      <c r="H13" s="1299"/>
      <c r="I13" s="1300"/>
      <c r="J13" s="1299"/>
      <c r="K13" s="1299"/>
      <c r="L13" s="1301"/>
    </row>
    <row r="14" spans="1:13" ht="45.75" customHeight="1" x14ac:dyDescent="0.2">
      <c r="B14" s="2547" t="s">
        <v>2198</v>
      </c>
      <c r="C14" s="2547"/>
      <c r="D14" s="2547"/>
      <c r="E14" s="2547"/>
      <c r="F14" s="2547"/>
      <c r="G14" s="2547"/>
      <c r="H14" s="2547"/>
      <c r="I14" s="2547"/>
      <c r="J14" s="2547"/>
      <c r="K14" s="2547"/>
      <c r="L14" s="1302"/>
    </row>
    <row r="15" spans="1:13" ht="4.5" customHeight="1" x14ac:dyDescent="0.2">
      <c r="B15" s="1303"/>
      <c r="C15" s="1303"/>
      <c r="D15" s="1304"/>
      <c r="E15" s="1304"/>
      <c r="F15" s="1304"/>
      <c r="H15" s="1304"/>
      <c r="J15" s="1304"/>
      <c r="K15" s="1304"/>
      <c r="L15" s="1302"/>
    </row>
    <row r="16" spans="1:13" s="1193" customFormat="1" ht="13.5" customHeight="1" x14ac:dyDescent="0.2">
      <c r="B16" s="1298" t="s">
        <v>1356</v>
      </c>
      <c r="C16" s="1298"/>
      <c r="D16" s="1299"/>
      <c r="E16" s="1299"/>
      <c r="F16" s="1299"/>
      <c r="G16" s="1300"/>
      <c r="H16" s="1299"/>
      <c r="I16" s="1300"/>
      <c r="J16" s="1299"/>
      <c r="K16" s="1299"/>
      <c r="L16" s="1301"/>
    </row>
    <row r="17" spans="2:12" ht="45.75" customHeight="1" x14ac:dyDescent="0.2">
      <c r="B17" s="2547" t="s">
        <v>2199</v>
      </c>
      <c r="C17" s="2547"/>
      <c r="D17" s="2547"/>
      <c r="E17" s="2547"/>
      <c r="F17" s="2547"/>
      <c r="G17" s="2547"/>
      <c r="H17" s="2547"/>
      <c r="I17" s="2547"/>
      <c r="J17" s="2547"/>
      <c r="K17" s="2547"/>
      <c r="L17" s="1286"/>
    </row>
    <row r="18" spans="2:12" ht="4.5" customHeight="1" x14ac:dyDescent="0.2">
      <c r="B18" s="1303"/>
      <c r="C18" s="1303"/>
      <c r="L18" s="1286"/>
    </row>
    <row r="19" spans="2:12" s="1193" customFormat="1" ht="13.5" customHeight="1" x14ac:dyDescent="0.2">
      <c r="B19" s="1298" t="s">
        <v>1842</v>
      </c>
      <c r="C19" s="1298"/>
      <c r="D19" s="1299"/>
      <c r="E19" s="1299"/>
      <c r="F19" s="1299"/>
      <c r="G19" s="1300"/>
      <c r="H19" s="1299"/>
      <c r="I19" s="1300"/>
      <c r="J19" s="1299"/>
      <c r="K19" s="1299"/>
      <c r="L19" s="1301"/>
    </row>
    <row r="20" spans="2:12" ht="45.75" customHeight="1" x14ac:dyDescent="0.2">
      <c r="B20" s="2551" t="s">
        <v>2200</v>
      </c>
      <c r="C20" s="2551"/>
      <c r="D20" s="2547"/>
      <c r="E20" s="2547"/>
      <c r="F20" s="2547"/>
      <c r="G20" s="2547"/>
      <c r="H20" s="2547"/>
      <c r="I20" s="2547"/>
      <c r="J20" s="2547"/>
      <c r="K20" s="2547"/>
      <c r="L20" s="1286"/>
    </row>
    <row r="21" spans="2:12" ht="4.5" customHeight="1" x14ac:dyDescent="0.2">
      <c r="B21" s="1305"/>
      <c r="C21" s="1305"/>
      <c r="L21" s="1286"/>
    </row>
    <row r="22" spans="2:12" ht="13.5" customHeight="1" x14ac:dyDescent="0.2">
      <c r="B22" s="1298" t="s">
        <v>1355</v>
      </c>
      <c r="C22" s="1298"/>
      <c r="D22" s="1284"/>
      <c r="E22" s="1284"/>
      <c r="F22" s="1284"/>
      <c r="G22" s="1285"/>
      <c r="H22" s="1284"/>
      <c r="I22" s="1285"/>
      <c r="J22" s="1284"/>
      <c r="K22" s="1284"/>
      <c r="L22" s="1286"/>
    </row>
    <row r="23" spans="2:12" ht="45" customHeight="1" x14ac:dyDescent="0.2">
      <c r="B23" s="2547" t="s">
        <v>2201</v>
      </c>
      <c r="C23" s="2547"/>
      <c r="D23" s="2547"/>
      <c r="E23" s="2547"/>
      <c r="F23" s="2547"/>
      <c r="G23" s="2547"/>
      <c r="H23" s="2547"/>
      <c r="I23" s="2547"/>
      <c r="J23" s="2547"/>
      <c r="K23" s="2547"/>
      <c r="L23" s="1286"/>
    </row>
    <row r="24" spans="2:12" ht="4.5" customHeight="1" x14ac:dyDescent="0.2">
      <c r="B24" s="1303"/>
      <c r="C24" s="1303"/>
      <c r="L24" s="1286"/>
    </row>
    <row r="25" spans="2:12" ht="13.5" customHeight="1" x14ac:dyDescent="0.2">
      <c r="B25" s="1298" t="s">
        <v>1354</v>
      </c>
      <c r="C25" s="1298"/>
      <c r="D25" s="1284"/>
      <c r="E25" s="1284"/>
      <c r="F25" s="1284"/>
      <c r="G25" s="1285"/>
      <c r="H25" s="1284"/>
      <c r="I25" s="1285"/>
      <c r="J25" s="1284"/>
      <c r="K25" s="1284"/>
      <c r="L25" s="1286"/>
    </row>
    <row r="26" spans="2:12" ht="45.75" customHeight="1" x14ac:dyDescent="0.2">
      <c r="B26" s="2547" t="s">
        <v>2281</v>
      </c>
      <c r="C26" s="2547"/>
      <c r="D26" s="2547"/>
      <c r="E26" s="2547"/>
      <c r="F26" s="2547"/>
      <c r="G26" s="2547"/>
      <c r="H26" s="2547"/>
      <c r="I26" s="2547"/>
      <c r="J26" s="2547"/>
      <c r="K26" s="2547"/>
      <c r="L26" s="1286"/>
    </row>
    <row r="27" spans="2:12" ht="4.5" customHeight="1" x14ac:dyDescent="0.2">
      <c r="B27" s="1303"/>
      <c r="C27" s="1303"/>
      <c r="L27" s="1286"/>
    </row>
    <row r="28" spans="2:12" ht="13.5" customHeight="1" x14ac:dyDescent="0.2">
      <c r="B28" s="1306" t="s">
        <v>1353</v>
      </c>
      <c r="C28" s="1306"/>
      <c r="D28" s="1284"/>
      <c r="E28" s="1284"/>
      <c r="F28" s="1284"/>
      <c r="G28" s="1285"/>
      <c r="H28" s="1284"/>
      <c r="I28" s="1285"/>
      <c r="J28" s="1284"/>
      <c r="K28" s="1284"/>
      <c r="L28" s="1286"/>
    </row>
    <row r="29" spans="2:12" ht="45.75" customHeight="1" x14ac:dyDescent="0.2">
      <c r="B29" s="2546" t="s">
        <v>2202</v>
      </c>
      <c r="C29" s="2546"/>
      <c r="D29" s="2547"/>
      <c r="E29" s="2547"/>
      <c r="F29" s="2547"/>
      <c r="G29" s="2547"/>
      <c r="H29" s="2547"/>
      <c r="I29" s="2547"/>
      <c r="J29" s="2547"/>
      <c r="K29" s="2547"/>
      <c r="L29" s="1286"/>
    </row>
    <row r="30" spans="2:12" ht="4.5" customHeight="1" x14ac:dyDescent="0.2">
      <c r="B30" s="1307"/>
      <c r="C30" s="1307"/>
      <c r="D30" s="318"/>
      <c r="E30" s="318"/>
      <c r="F30" s="318"/>
      <c r="G30" s="1288"/>
      <c r="H30" s="318"/>
      <c r="I30" s="1288"/>
      <c r="J30" s="318"/>
      <c r="K30" s="318"/>
      <c r="L30" s="1286"/>
    </row>
    <row r="31" spans="2:12" s="318" customFormat="1" ht="13.5" customHeight="1" x14ac:dyDescent="0.2">
      <c r="B31" s="1308" t="s">
        <v>1843</v>
      </c>
      <c r="C31" s="1308"/>
      <c r="D31" s="1283"/>
      <c r="E31" s="1284"/>
      <c r="F31" s="1284"/>
      <c r="G31" s="1285"/>
      <c r="H31" s="1284"/>
      <c r="I31" s="1285"/>
      <c r="J31" s="1284"/>
      <c r="K31" s="1284"/>
      <c r="L31" s="1286"/>
    </row>
    <row r="32" spans="2:12" s="318" customFormat="1" ht="44.25" customHeight="1" x14ac:dyDescent="0.2">
      <c r="B32" s="2546" t="s">
        <v>2203</v>
      </c>
      <c r="C32" s="2546"/>
      <c r="D32" s="2547"/>
      <c r="E32" s="2547"/>
      <c r="F32" s="2547"/>
      <c r="G32" s="2547"/>
      <c r="H32" s="2547"/>
      <c r="I32" s="2547"/>
      <c r="J32" s="2547"/>
      <c r="K32" s="2547"/>
      <c r="L32" s="1286"/>
    </row>
    <row r="33" spans="1:13" s="318" customFormat="1" ht="4.5" customHeight="1" x14ac:dyDescent="0.2">
      <c r="B33" s="1307"/>
      <c r="C33" s="1307"/>
      <c r="G33" s="1288"/>
      <c r="I33" s="1288"/>
      <c r="L33" s="1286"/>
    </row>
    <row r="34" spans="1:13" s="318" customFormat="1" x14ac:dyDescent="0.2">
      <c r="A34" s="1208"/>
      <c r="B34" s="1322"/>
      <c r="C34" s="1322"/>
      <c r="D34" s="1322"/>
      <c r="E34" s="1322"/>
      <c r="F34" s="1322"/>
      <c r="G34" s="1323"/>
      <c r="H34" s="1322"/>
      <c r="I34" s="1323"/>
      <c r="J34" s="1322"/>
      <c r="K34" s="1322"/>
      <c r="L34" s="1286"/>
    </row>
    <row r="35" spans="1:13" ht="11.85" customHeight="1" x14ac:dyDescent="0.2">
      <c r="B35" s="1324" t="s">
        <v>1844</v>
      </c>
      <c r="C35" s="1324"/>
      <c r="D35" s="318"/>
      <c r="E35" s="318"/>
      <c r="F35" s="318"/>
      <c r="L35" s="1286"/>
    </row>
    <row r="36" spans="1:13" ht="9.6" customHeight="1" x14ac:dyDescent="0.2">
      <c r="B36" s="1211" t="s">
        <v>1950</v>
      </c>
      <c r="C36" s="1211"/>
      <c r="L36" s="1286"/>
    </row>
    <row r="37" spans="1:13" ht="9.6" customHeight="1" x14ac:dyDescent="0.2">
      <c r="B37" s="1211" t="s">
        <v>1951</v>
      </c>
      <c r="C37" s="1211"/>
    </row>
    <row r="38" spans="1:13" ht="11.85" customHeight="1" x14ac:dyDescent="0.2">
      <c r="B38" s="1325" t="s">
        <v>1845</v>
      </c>
      <c r="C38" s="1325"/>
    </row>
    <row r="39" spans="1:13" ht="9.6" customHeight="1" x14ac:dyDescent="0.2">
      <c r="B39" s="1211" t="s">
        <v>1347</v>
      </c>
      <c r="C39" s="1211"/>
      <c r="M39" s="1326"/>
    </row>
    <row r="40" spans="1:13" ht="12.6" customHeight="1" x14ac:dyDescent="0.2">
      <c r="B40" s="1325" t="s">
        <v>1846</v>
      </c>
      <c r="C40" s="1325"/>
      <c r="M40" s="1326"/>
    </row>
    <row r="41" spans="1:13" ht="9.6" customHeight="1" x14ac:dyDescent="0.2">
      <c r="B41" s="1211"/>
      <c r="C41" s="1211"/>
      <c r="M41" s="132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M41"/>
  <sheetViews>
    <sheetView showGridLines="0" zoomScale="110" zoomScaleNormal="110" workbookViewId="0">
      <selection activeCell="B26" sqref="B26:K26"/>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69" customWidth="1"/>
    <col min="8" max="8" width="10.5703125" style="313" customWidth="1"/>
    <col min="9" max="9" width="3.42578125" style="1169"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32" t="str">
        <f>'Single Audit Cover'!A7</f>
        <v>Champaign Community Unit School District 4</v>
      </c>
      <c r="C1" s="2532"/>
      <c r="D1" s="2532"/>
      <c r="E1" s="2532"/>
      <c r="F1" s="2532"/>
      <c r="G1" s="2532"/>
      <c r="H1" s="2532"/>
      <c r="I1" s="2532"/>
      <c r="J1" s="2532"/>
      <c r="K1" s="2532"/>
      <c r="L1" s="1279"/>
      <c r="M1" s="1279"/>
    </row>
    <row r="2" spans="1:13" ht="12" customHeight="1" x14ac:dyDescent="0.2">
      <c r="B2" s="2534">
        <f>'Single Audit Cover'!E7</f>
        <v>9010004026</v>
      </c>
      <c r="C2" s="2534"/>
      <c r="D2" s="2534"/>
      <c r="E2" s="2534"/>
      <c r="F2" s="2534"/>
      <c r="G2" s="2534"/>
      <c r="H2" s="2534"/>
      <c r="I2" s="2534"/>
      <c r="J2" s="2534"/>
      <c r="K2" s="2534"/>
      <c r="L2" s="1280"/>
      <c r="M2" s="1281"/>
    </row>
    <row r="3" spans="1:13" ht="10.35" customHeight="1" x14ac:dyDescent="0.2">
      <c r="B3" s="2548" t="s">
        <v>1346</v>
      </c>
      <c r="C3" s="2548"/>
      <c r="D3" s="2548"/>
      <c r="E3" s="2548"/>
      <c r="F3" s="2548"/>
      <c r="G3" s="2548"/>
      <c r="H3" s="2548"/>
      <c r="I3" s="2548"/>
      <c r="J3" s="2548"/>
      <c r="K3" s="2548"/>
      <c r="L3" s="1968"/>
      <c r="M3" s="1968"/>
    </row>
    <row r="4" spans="1:13" ht="14.25" customHeight="1" x14ac:dyDescent="0.2">
      <c r="B4" s="2549" t="str">
        <f>'Single Audit Cover'!A4</f>
        <v>Year Ending June 30, 2018</v>
      </c>
      <c r="C4" s="2549"/>
      <c r="D4" s="2549"/>
      <c r="E4" s="2549"/>
      <c r="F4" s="2549"/>
      <c r="G4" s="2549"/>
      <c r="H4" s="2549"/>
      <c r="I4" s="2549"/>
      <c r="J4" s="2549"/>
      <c r="K4" s="2549"/>
      <c r="L4" s="309"/>
      <c r="M4" s="309"/>
    </row>
    <row r="5" spans="1:13" ht="7.5" customHeight="1" x14ac:dyDescent="0.2">
      <c r="B5" s="1171" t="s">
        <v>1230</v>
      </c>
      <c r="C5" s="1171"/>
    </row>
    <row r="6" spans="1:13" ht="7.5" customHeight="1" x14ac:dyDescent="0.2">
      <c r="B6" s="1283"/>
      <c r="C6" s="1283"/>
      <c r="D6" s="1284"/>
      <c r="E6" s="1284"/>
      <c r="F6" s="1284"/>
      <c r="G6" s="1285"/>
      <c r="H6" s="1284"/>
      <c r="I6" s="1285"/>
      <c r="J6" s="1284"/>
      <c r="K6" s="1284"/>
      <c r="L6" s="1286"/>
    </row>
    <row r="7" spans="1:13" ht="12.75" customHeight="1" x14ac:dyDescent="0.2">
      <c r="A7" s="1193"/>
      <c r="B7" s="2549" t="s">
        <v>1362</v>
      </c>
      <c r="C7" s="2549"/>
      <c r="D7" s="2550"/>
      <c r="E7" s="2550"/>
      <c r="F7" s="2550"/>
      <c r="G7" s="2550"/>
      <c r="H7" s="2550"/>
      <c r="I7" s="2550"/>
      <c r="J7" s="2550"/>
      <c r="K7" s="2550"/>
      <c r="L7" s="1287"/>
    </row>
    <row r="8" spans="1:13" ht="7.5" customHeight="1" x14ac:dyDescent="0.2">
      <c r="B8" s="318"/>
      <c r="C8" s="318"/>
      <c r="D8" s="318"/>
      <c r="E8" s="318"/>
      <c r="F8" s="318"/>
      <c r="G8" s="1288"/>
      <c r="H8" s="318"/>
      <c r="I8" s="1288"/>
      <c r="J8" s="318"/>
      <c r="K8" s="318"/>
      <c r="L8" s="1286"/>
    </row>
    <row r="9" spans="1:13" ht="9.6" customHeight="1" x14ac:dyDescent="0.2">
      <c r="B9" s="1284"/>
      <c r="C9" s="1284"/>
      <c r="D9" s="1284"/>
      <c r="E9" s="1284"/>
      <c r="F9" s="1284"/>
      <c r="G9" s="1285"/>
      <c r="H9" s="1284"/>
      <c r="I9" s="1285"/>
      <c r="J9" s="1284"/>
      <c r="K9" s="1284"/>
      <c r="L9" s="1286"/>
    </row>
    <row r="10" spans="1:13" ht="16.5" customHeight="1" x14ac:dyDescent="0.2">
      <c r="B10" s="1289" t="s">
        <v>1841</v>
      </c>
      <c r="C10" s="1290" t="s">
        <v>1949</v>
      </c>
      <c r="D10" s="1291">
        <v>2</v>
      </c>
      <c r="E10" s="318"/>
      <c r="F10" s="1292" t="s">
        <v>1361</v>
      </c>
      <c r="G10" s="1293"/>
      <c r="H10" s="1294" t="s">
        <v>1360</v>
      </c>
      <c r="I10" s="1293" t="s">
        <v>2086</v>
      </c>
      <c r="J10" s="1295" t="s">
        <v>1359</v>
      </c>
      <c r="K10" s="318"/>
      <c r="L10" s="1286"/>
    </row>
    <row r="11" spans="1:13" ht="13.5" customHeight="1" x14ac:dyDescent="0.2">
      <c r="B11" s="318"/>
      <c r="C11" s="318"/>
      <c r="D11" s="318"/>
      <c r="E11" s="318"/>
      <c r="F11" s="318"/>
      <c r="G11" s="1288"/>
      <c r="H11" s="318"/>
      <c r="I11" s="1296" t="s">
        <v>1358</v>
      </c>
      <c r="J11" s="318"/>
      <c r="K11" s="1297">
        <v>2013</v>
      </c>
      <c r="L11" s="1286"/>
    </row>
    <row r="12" spans="1:13" ht="13.5" customHeight="1" x14ac:dyDescent="0.2">
      <c r="B12" s="1205"/>
      <c r="C12" s="1205"/>
      <c r="D12" s="318"/>
      <c r="E12" s="318"/>
      <c r="F12" s="318"/>
      <c r="G12" s="1288"/>
      <c r="H12" s="318"/>
      <c r="I12" s="1288"/>
      <c r="J12" s="318"/>
      <c r="L12" s="1286"/>
    </row>
    <row r="13" spans="1:13" s="1193" customFormat="1" ht="13.5" customHeight="1" x14ac:dyDescent="0.2">
      <c r="B13" s="1298" t="s">
        <v>1357</v>
      </c>
      <c r="C13" s="1298"/>
      <c r="D13" s="1299"/>
      <c r="E13" s="1299"/>
      <c r="F13" s="1299"/>
      <c r="G13" s="1300"/>
      <c r="H13" s="1299"/>
      <c r="I13" s="1300"/>
      <c r="J13" s="1299"/>
      <c r="K13" s="1299"/>
      <c r="L13" s="1301"/>
    </row>
    <row r="14" spans="1:13" ht="45.75" customHeight="1" x14ac:dyDescent="0.2">
      <c r="B14" s="2547" t="s">
        <v>2204</v>
      </c>
      <c r="C14" s="2547"/>
      <c r="D14" s="2547"/>
      <c r="E14" s="2547"/>
      <c r="F14" s="2547"/>
      <c r="G14" s="2547"/>
      <c r="H14" s="2547"/>
      <c r="I14" s="2547"/>
      <c r="J14" s="2547"/>
      <c r="K14" s="2547"/>
      <c r="L14" s="1302"/>
    </row>
    <row r="15" spans="1:13" ht="4.5" customHeight="1" x14ac:dyDescent="0.2">
      <c r="B15" s="1303"/>
      <c r="C15" s="1303"/>
      <c r="D15" s="1304"/>
      <c r="E15" s="1304"/>
      <c r="F15" s="1304"/>
      <c r="H15" s="1304"/>
      <c r="J15" s="1304"/>
      <c r="K15" s="1304"/>
      <c r="L15" s="1302"/>
    </row>
    <row r="16" spans="1:13" s="1193" customFormat="1" ht="13.5" customHeight="1" x14ac:dyDescent="0.2">
      <c r="B16" s="1298" t="s">
        <v>1356</v>
      </c>
      <c r="C16" s="1298"/>
      <c r="D16" s="1299"/>
      <c r="E16" s="1299"/>
      <c r="F16" s="1299"/>
      <c r="G16" s="1300"/>
      <c r="H16" s="1299"/>
      <c r="I16" s="1300"/>
      <c r="J16" s="1299"/>
      <c r="K16" s="1299"/>
      <c r="L16" s="1301"/>
    </row>
    <row r="17" spans="2:12" ht="45.75" customHeight="1" x14ac:dyDescent="0.2">
      <c r="B17" s="2547" t="s">
        <v>2205</v>
      </c>
      <c r="C17" s="2547"/>
      <c r="D17" s="2547"/>
      <c r="E17" s="2547"/>
      <c r="F17" s="2547"/>
      <c r="G17" s="2547"/>
      <c r="H17" s="2547"/>
      <c r="I17" s="2547"/>
      <c r="J17" s="2547"/>
      <c r="K17" s="2547"/>
      <c r="L17" s="1286"/>
    </row>
    <row r="18" spans="2:12" ht="4.5" customHeight="1" x14ac:dyDescent="0.2">
      <c r="B18" s="1303"/>
      <c r="C18" s="1303"/>
      <c r="L18" s="1286"/>
    </row>
    <row r="19" spans="2:12" s="1193" customFormat="1" ht="13.5" customHeight="1" x14ac:dyDescent="0.2">
      <c r="B19" s="1298" t="s">
        <v>1842</v>
      </c>
      <c r="C19" s="1298"/>
      <c r="D19" s="1299"/>
      <c r="E19" s="1299"/>
      <c r="F19" s="1299"/>
      <c r="G19" s="1300"/>
      <c r="H19" s="1299"/>
      <c r="I19" s="1300"/>
      <c r="J19" s="1299"/>
      <c r="K19" s="1299"/>
      <c r="L19" s="1301"/>
    </row>
    <row r="20" spans="2:12" ht="45.75" customHeight="1" x14ac:dyDescent="0.2">
      <c r="B20" s="2551" t="s">
        <v>2206</v>
      </c>
      <c r="C20" s="2551"/>
      <c r="D20" s="2547"/>
      <c r="E20" s="2547"/>
      <c r="F20" s="2547"/>
      <c r="G20" s="2547"/>
      <c r="H20" s="2547"/>
      <c r="I20" s="2547"/>
      <c r="J20" s="2547"/>
      <c r="K20" s="2547"/>
      <c r="L20" s="1286"/>
    </row>
    <row r="21" spans="2:12" ht="4.5" customHeight="1" x14ac:dyDescent="0.2">
      <c r="B21" s="1305"/>
      <c r="C21" s="1305"/>
      <c r="L21" s="1286"/>
    </row>
    <row r="22" spans="2:12" ht="13.5" customHeight="1" x14ac:dyDescent="0.2">
      <c r="B22" s="1298" t="s">
        <v>1355</v>
      </c>
      <c r="C22" s="1298"/>
      <c r="D22" s="1284"/>
      <c r="E22" s="1284"/>
      <c r="F22" s="1284"/>
      <c r="G22" s="1285"/>
      <c r="H22" s="1284"/>
      <c r="I22" s="1285"/>
      <c r="J22" s="1284"/>
      <c r="K22" s="1284"/>
      <c r="L22" s="1286"/>
    </row>
    <row r="23" spans="2:12" ht="45" customHeight="1" x14ac:dyDescent="0.2">
      <c r="B23" s="2547" t="s">
        <v>2207</v>
      </c>
      <c r="C23" s="2547"/>
      <c r="D23" s="2547"/>
      <c r="E23" s="2547"/>
      <c r="F23" s="2547"/>
      <c r="G23" s="2547"/>
      <c r="H23" s="2547"/>
      <c r="I23" s="2547"/>
      <c r="J23" s="2547"/>
      <c r="K23" s="2547"/>
      <c r="L23" s="1286"/>
    </row>
    <row r="24" spans="2:12" ht="4.5" customHeight="1" x14ac:dyDescent="0.2">
      <c r="B24" s="1303"/>
      <c r="C24" s="1303"/>
      <c r="L24" s="1286"/>
    </row>
    <row r="25" spans="2:12" ht="13.5" customHeight="1" x14ac:dyDescent="0.2">
      <c r="B25" s="1298" t="s">
        <v>1354</v>
      </c>
      <c r="C25" s="1298"/>
      <c r="D25" s="1284"/>
      <c r="E25" s="1284"/>
      <c r="F25" s="1284"/>
      <c r="G25" s="1285"/>
      <c r="H25" s="1284"/>
      <c r="I25" s="1285"/>
      <c r="J25" s="1284"/>
      <c r="K25" s="1284"/>
      <c r="L25" s="1286"/>
    </row>
    <row r="26" spans="2:12" ht="45.75" customHeight="1" x14ac:dyDescent="0.2">
      <c r="B26" s="2547" t="s">
        <v>2208</v>
      </c>
      <c r="C26" s="2547"/>
      <c r="D26" s="2547"/>
      <c r="E26" s="2547"/>
      <c r="F26" s="2547"/>
      <c r="G26" s="2547"/>
      <c r="H26" s="2547"/>
      <c r="I26" s="2547"/>
      <c r="J26" s="2547"/>
      <c r="K26" s="2547"/>
      <c r="L26" s="1286"/>
    </row>
    <row r="27" spans="2:12" ht="4.5" customHeight="1" x14ac:dyDescent="0.2">
      <c r="B27" s="1303"/>
      <c r="C27" s="1303"/>
      <c r="L27" s="1286"/>
    </row>
    <row r="28" spans="2:12" ht="13.5" customHeight="1" x14ac:dyDescent="0.2">
      <c r="B28" s="1306" t="s">
        <v>1353</v>
      </c>
      <c r="C28" s="1306"/>
      <c r="D28" s="1284"/>
      <c r="E28" s="1284"/>
      <c r="F28" s="1284"/>
      <c r="G28" s="1285"/>
      <c r="H28" s="1284"/>
      <c r="I28" s="1285"/>
      <c r="J28" s="1284"/>
      <c r="K28" s="1284"/>
      <c r="L28" s="1286"/>
    </row>
    <row r="29" spans="2:12" ht="45.75" customHeight="1" x14ac:dyDescent="0.2">
      <c r="B29" s="2546" t="s">
        <v>2209</v>
      </c>
      <c r="C29" s="2546"/>
      <c r="D29" s="2547"/>
      <c r="E29" s="2547"/>
      <c r="F29" s="2547"/>
      <c r="G29" s="2547"/>
      <c r="H29" s="2547"/>
      <c r="I29" s="2547"/>
      <c r="J29" s="2547"/>
      <c r="K29" s="2547"/>
      <c r="L29" s="1286"/>
    </row>
    <row r="30" spans="2:12" ht="4.5" customHeight="1" x14ac:dyDescent="0.2">
      <c r="B30" s="1307"/>
      <c r="C30" s="1307"/>
      <c r="D30" s="318"/>
      <c r="E30" s="318"/>
      <c r="F30" s="318"/>
      <c r="G30" s="1288"/>
      <c r="H30" s="318"/>
      <c r="I30" s="1288"/>
      <c r="J30" s="318"/>
      <c r="K30" s="318"/>
      <c r="L30" s="1286"/>
    </row>
    <row r="31" spans="2:12" s="318" customFormat="1" ht="13.5" customHeight="1" x14ac:dyDescent="0.2">
      <c r="B31" s="1308" t="s">
        <v>1843</v>
      </c>
      <c r="C31" s="1308"/>
      <c r="D31" s="1283"/>
      <c r="E31" s="1284"/>
      <c r="F31" s="1284"/>
      <c r="G31" s="1285"/>
      <c r="H31" s="1284"/>
      <c r="I31" s="1285"/>
      <c r="J31" s="1284"/>
      <c r="K31" s="1284"/>
      <c r="L31" s="1286"/>
    </row>
    <row r="32" spans="2:12" s="318" customFormat="1" ht="73.150000000000006" customHeight="1" x14ac:dyDescent="0.2">
      <c r="B32" s="2546" t="s">
        <v>2210</v>
      </c>
      <c r="C32" s="2546"/>
      <c r="D32" s="2547"/>
      <c r="E32" s="2547"/>
      <c r="F32" s="2547"/>
      <c r="G32" s="2547"/>
      <c r="H32" s="2547"/>
      <c r="I32" s="2547"/>
      <c r="J32" s="2547"/>
      <c r="K32" s="2547"/>
      <c r="L32" s="1286"/>
    </row>
    <row r="33" spans="1:13" s="318" customFormat="1" ht="4.5" customHeight="1" x14ac:dyDescent="0.2">
      <c r="B33" s="1307"/>
      <c r="C33" s="1307"/>
      <c r="G33" s="1288"/>
      <c r="I33" s="1288"/>
      <c r="L33" s="1286"/>
    </row>
    <row r="34" spans="1:13" s="318" customFormat="1" x14ac:dyDescent="0.2">
      <c r="A34" s="1208"/>
      <c r="B34" s="1322"/>
      <c r="C34" s="1322"/>
      <c r="D34" s="1322"/>
      <c r="E34" s="1322"/>
      <c r="F34" s="1322"/>
      <c r="G34" s="1323"/>
      <c r="H34" s="1322"/>
      <c r="I34" s="1323"/>
      <c r="J34" s="1322"/>
      <c r="K34" s="1322"/>
      <c r="L34" s="1286"/>
    </row>
    <row r="35" spans="1:13" ht="11.85" customHeight="1" x14ac:dyDescent="0.2">
      <c r="B35" s="1324" t="s">
        <v>1844</v>
      </c>
      <c r="C35" s="1324"/>
      <c r="D35" s="318"/>
      <c r="E35" s="318"/>
      <c r="F35" s="318"/>
      <c r="L35" s="1286"/>
    </row>
    <row r="36" spans="1:13" ht="9.6" customHeight="1" x14ac:dyDescent="0.2">
      <c r="B36" s="1211" t="s">
        <v>1950</v>
      </c>
      <c r="C36" s="1211"/>
      <c r="L36" s="1286"/>
    </row>
    <row r="37" spans="1:13" ht="9.6" customHeight="1" x14ac:dyDescent="0.2">
      <c r="B37" s="1211" t="s">
        <v>1951</v>
      </c>
      <c r="C37" s="1211"/>
    </row>
    <row r="38" spans="1:13" ht="11.85" customHeight="1" x14ac:dyDescent="0.2">
      <c r="B38" s="1325" t="s">
        <v>1845</v>
      </c>
      <c r="C38" s="1325"/>
    </row>
    <row r="39" spans="1:13" ht="9.6" customHeight="1" x14ac:dyDescent="0.2">
      <c r="B39" s="1211" t="s">
        <v>1347</v>
      </c>
      <c r="C39" s="1211"/>
      <c r="M39" s="1326"/>
    </row>
    <row r="40" spans="1:13" ht="12.6" customHeight="1" x14ac:dyDescent="0.2">
      <c r="B40" s="1325" t="s">
        <v>1846</v>
      </c>
      <c r="C40" s="1325"/>
      <c r="M40" s="1326"/>
    </row>
    <row r="41" spans="1:13" ht="9.6" customHeight="1" x14ac:dyDescent="0.2">
      <c r="B41" s="1211"/>
      <c r="C41" s="1211"/>
      <c r="M41" s="132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L52"/>
  <sheetViews>
    <sheetView showGridLines="0" zoomScale="110" zoomScaleNormal="110" workbookViewId="0">
      <selection activeCell="D8" sqref="D8"/>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69" customWidth="1"/>
    <col min="8" max="8" width="10.5703125" style="313" customWidth="1"/>
    <col min="9" max="9" width="3.42578125" style="1169"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55" t="str">
        <f>'Single Audit Cover'!A7</f>
        <v>Champaign Community Unit School District 4</v>
      </c>
      <c r="C1" s="2555"/>
      <c r="D1" s="2555"/>
      <c r="E1" s="2555"/>
      <c r="F1" s="2555"/>
      <c r="G1" s="2555"/>
      <c r="H1" s="2555"/>
      <c r="I1" s="2555"/>
      <c r="J1" s="2555"/>
      <c r="K1" s="2555"/>
      <c r="L1" s="1370"/>
    </row>
    <row r="2" spans="1:12" ht="12.75" customHeight="1" x14ac:dyDescent="0.2">
      <c r="B2" s="2556">
        <f>'Single Audit Cover'!E7</f>
        <v>9010004026</v>
      </c>
      <c r="C2" s="2556"/>
      <c r="D2" s="2556"/>
      <c r="E2" s="2556"/>
      <c r="F2" s="2556"/>
      <c r="G2" s="2556"/>
      <c r="H2" s="2556"/>
      <c r="I2" s="2556"/>
      <c r="J2" s="2556"/>
      <c r="K2" s="2556"/>
      <c r="L2" s="1371"/>
    </row>
    <row r="3" spans="1:12" ht="12.75" customHeight="1" x14ac:dyDescent="0.2">
      <c r="B3" s="2548" t="s">
        <v>1346</v>
      </c>
      <c r="C3" s="2548"/>
      <c r="D3" s="2548"/>
      <c r="E3" s="2548"/>
      <c r="F3" s="2548"/>
      <c r="G3" s="2548"/>
      <c r="H3" s="2548"/>
      <c r="I3" s="2548"/>
      <c r="J3" s="2548"/>
      <c r="K3" s="2548"/>
      <c r="L3" s="1282"/>
    </row>
    <row r="4" spans="1:12" ht="12.75" customHeight="1" x14ac:dyDescent="0.2">
      <c r="B4" s="2548" t="str">
        <f>'Single Audit Cover'!A4</f>
        <v>Year Ending June 30, 2018</v>
      </c>
      <c r="C4" s="2548"/>
      <c r="D4" s="2548"/>
      <c r="E4" s="2548"/>
      <c r="F4" s="2548"/>
      <c r="G4" s="2548"/>
      <c r="H4" s="2548"/>
      <c r="I4" s="2548"/>
      <c r="J4" s="2548"/>
      <c r="K4" s="2548"/>
      <c r="L4" s="1282"/>
    </row>
    <row r="5" spans="1:12" ht="5.25" customHeight="1" x14ac:dyDescent="0.2">
      <c r="B5" s="1171" t="s">
        <v>1230</v>
      </c>
      <c r="C5" s="1171"/>
      <c r="L5" s="318"/>
    </row>
    <row r="6" spans="1:12" ht="30.75" customHeight="1" x14ac:dyDescent="0.2">
      <c r="A6" s="318"/>
      <c r="B6" s="2557" t="s">
        <v>1374</v>
      </c>
      <c r="C6" s="2557"/>
      <c r="D6" s="2557"/>
      <c r="E6" s="2557"/>
      <c r="F6" s="2557"/>
      <c r="G6" s="2557"/>
      <c r="H6" s="2557"/>
      <c r="I6" s="2557"/>
      <c r="J6" s="2557"/>
      <c r="K6" s="2557"/>
      <c r="L6" s="318"/>
    </row>
    <row r="7" spans="1:12" ht="4.5" customHeight="1" x14ac:dyDescent="0.2">
      <c r="B7" s="1284"/>
      <c r="C7" s="1284"/>
      <c r="D7" s="1284"/>
      <c r="E7" s="1284"/>
      <c r="F7" s="1284"/>
      <c r="G7" s="1285"/>
      <c r="H7" s="1284"/>
      <c r="I7" s="1285"/>
      <c r="J7" s="1284"/>
      <c r="K7" s="1284"/>
      <c r="L7" s="318"/>
    </row>
    <row r="8" spans="1:12" ht="13.5" customHeight="1" x14ac:dyDescent="0.2">
      <c r="B8" s="1292" t="s">
        <v>1855</v>
      </c>
      <c r="C8" s="1372" t="s">
        <v>1949</v>
      </c>
      <c r="D8" s="1373" t="s">
        <v>2108</v>
      </c>
      <c r="E8" s="318"/>
      <c r="F8" s="1289" t="s">
        <v>1361</v>
      </c>
      <c r="G8" s="1374"/>
      <c r="H8" s="1375" t="s">
        <v>1373</v>
      </c>
      <c r="I8" s="1374"/>
      <c r="J8" s="1376" t="s">
        <v>1372</v>
      </c>
      <c r="L8" s="318"/>
    </row>
    <row r="9" spans="1:12" ht="13.5" customHeight="1" x14ac:dyDescent="0.2">
      <c r="D9" s="318"/>
      <c r="E9" s="318"/>
      <c r="F9" s="318"/>
      <c r="G9" s="1288"/>
      <c r="H9" s="318"/>
      <c r="I9" s="1377" t="s">
        <v>1358</v>
      </c>
      <c r="J9" s="318"/>
      <c r="K9" s="1378"/>
      <c r="L9" s="318"/>
    </row>
    <row r="10" spans="1:12" ht="4.5" customHeight="1" x14ac:dyDescent="0.2">
      <c r="B10" s="1379"/>
      <c r="C10" s="1379"/>
      <c r="D10" s="1332"/>
      <c r="E10" s="1332"/>
      <c r="F10" s="1332"/>
      <c r="G10" s="1333"/>
      <c r="H10" s="1332"/>
      <c r="I10" s="1333"/>
      <c r="J10" s="1332"/>
      <c r="K10" s="1332"/>
      <c r="L10" s="318"/>
    </row>
    <row r="11" spans="1:12" ht="5.25" customHeight="1" x14ac:dyDescent="0.2">
      <c r="B11" s="318"/>
      <c r="C11" s="318"/>
      <c r="D11" s="300"/>
      <c r="E11" s="318"/>
      <c r="F11" s="318"/>
      <c r="G11" s="1288"/>
      <c r="H11" s="318"/>
      <c r="I11" s="1288"/>
      <c r="J11" s="318"/>
      <c r="K11" s="1337"/>
      <c r="L11" s="318"/>
    </row>
    <row r="12" spans="1:12" ht="13.5" customHeight="1" x14ac:dyDescent="0.2">
      <c r="B12" s="1289" t="s">
        <v>1371</v>
      </c>
      <c r="C12" s="1289"/>
      <c r="D12" s="300"/>
      <c r="E12" s="318"/>
      <c r="F12" s="2539"/>
      <c r="G12" s="2539"/>
      <c r="H12" s="2539"/>
      <c r="I12" s="2539"/>
      <c r="J12" s="2539"/>
      <c r="K12" s="2539"/>
      <c r="L12" s="318"/>
    </row>
    <row r="13" spans="1:12" ht="9.6" customHeight="1" x14ac:dyDescent="0.2">
      <c r="B13" s="1168"/>
      <c r="C13" s="1168"/>
      <c r="D13" s="300"/>
      <c r="E13" s="318"/>
      <c r="F13" s="318"/>
      <c r="G13" s="1288"/>
      <c r="H13" s="318"/>
      <c r="I13" s="1288"/>
      <c r="J13" s="318"/>
      <c r="K13" s="1337"/>
      <c r="L13" s="318"/>
    </row>
    <row r="14" spans="1:12" ht="13.5" customHeight="1" x14ac:dyDescent="0.2">
      <c r="B14" s="1292" t="s">
        <v>1370</v>
      </c>
      <c r="C14" s="1292"/>
      <c r="D14" s="2552"/>
      <c r="E14" s="2552"/>
      <c r="F14" s="2552"/>
      <c r="H14" s="1380" t="s">
        <v>1369</v>
      </c>
      <c r="I14" s="2553"/>
      <c r="J14" s="2553"/>
      <c r="K14" s="2553"/>
      <c r="L14" s="318"/>
    </row>
    <row r="15" spans="1:12" ht="9.4" customHeight="1" x14ac:dyDescent="0.2">
      <c r="B15" s="1292"/>
      <c r="C15" s="1292"/>
      <c r="D15" s="1278"/>
      <c r="E15" s="1171"/>
      <c r="F15" s="1171"/>
      <c r="G15" s="1197"/>
      <c r="H15" s="1171"/>
      <c r="I15" s="1381"/>
      <c r="J15" s="1205"/>
      <c r="K15" s="1202"/>
      <c r="L15" s="318"/>
    </row>
    <row r="16" spans="1:12" ht="13.5" customHeight="1" x14ac:dyDescent="0.2">
      <c r="B16" s="1292" t="s">
        <v>1368</v>
      </c>
      <c r="C16" s="1292"/>
      <c r="D16" s="2553"/>
      <c r="E16" s="2553"/>
      <c r="F16" s="2553"/>
      <c r="G16" s="2553"/>
      <c r="H16" s="2553"/>
      <c r="I16" s="2553"/>
      <c r="J16" s="2553"/>
      <c r="K16" s="2553"/>
      <c r="L16" s="318"/>
    </row>
    <row r="17" spans="2:12" ht="13.5" customHeight="1" x14ac:dyDescent="0.2">
      <c r="B17" s="1292" t="s">
        <v>1367</v>
      </c>
      <c r="C17" s="1292"/>
      <c r="D17" s="2554"/>
      <c r="E17" s="2554"/>
      <c r="F17" s="2554"/>
      <c r="G17" s="2554"/>
      <c r="H17" s="2554"/>
      <c r="I17" s="2554"/>
      <c r="J17" s="2554"/>
      <c r="K17" s="2554"/>
      <c r="L17" s="318"/>
    </row>
    <row r="18" spans="2:12" ht="9.4" customHeight="1" x14ac:dyDescent="0.2">
      <c r="B18" s="1332"/>
      <c r="C18" s="1332"/>
      <c r="D18" s="1332"/>
      <c r="E18" s="1332"/>
      <c r="F18" s="1332"/>
      <c r="G18" s="1333"/>
      <c r="H18" s="1332"/>
      <c r="I18" s="1333"/>
      <c r="J18" s="1332"/>
      <c r="K18" s="1332"/>
      <c r="L18" s="318"/>
    </row>
    <row r="19" spans="2:12" ht="13.5" customHeight="1" x14ac:dyDescent="0.2">
      <c r="B19" s="1382" t="s">
        <v>1366</v>
      </c>
      <c r="C19" s="1382"/>
      <c r="D19" s="324"/>
      <c r="E19" s="324"/>
      <c r="F19" s="324"/>
      <c r="G19" s="1383"/>
      <c r="H19" s="324"/>
      <c r="I19" s="1383"/>
      <c r="J19" s="318"/>
      <c r="K19" s="318"/>
      <c r="L19" s="318"/>
    </row>
    <row r="20" spans="2:12" ht="35.25" customHeight="1" x14ac:dyDescent="0.2">
      <c r="B20" s="2547"/>
      <c r="C20" s="2547"/>
      <c r="D20" s="2547"/>
      <c r="E20" s="2547"/>
      <c r="F20" s="2547"/>
      <c r="G20" s="2547"/>
      <c r="H20" s="2547"/>
      <c r="I20" s="2547"/>
      <c r="J20" s="2547"/>
      <c r="K20" s="2547"/>
      <c r="L20" s="1337"/>
    </row>
    <row r="21" spans="2:12" ht="4.5" customHeight="1" x14ac:dyDescent="0.2">
      <c r="B21" s="1384"/>
      <c r="C21" s="1384"/>
      <c r="D21" s="1385"/>
      <c r="E21" s="1385"/>
      <c r="F21" s="1385"/>
      <c r="G21" s="1333"/>
      <c r="H21" s="1385"/>
      <c r="I21" s="1333"/>
      <c r="J21" s="1385"/>
      <c r="K21" s="1385"/>
      <c r="L21" s="1337"/>
    </row>
    <row r="22" spans="2:12" ht="13.35" customHeight="1" x14ac:dyDescent="0.2">
      <c r="B22" s="1382" t="s">
        <v>1856</v>
      </c>
      <c r="C22" s="1382"/>
      <c r="D22" s="318"/>
      <c r="E22" s="318"/>
      <c r="F22" s="318"/>
      <c r="G22" s="1288"/>
      <c r="H22" s="318"/>
      <c r="I22" s="1288"/>
      <c r="J22" s="318"/>
      <c r="K22" s="318"/>
      <c r="L22" s="318"/>
    </row>
    <row r="23" spans="2:12" ht="37.5" customHeight="1" x14ac:dyDescent="0.2">
      <c r="B23" s="2547"/>
      <c r="C23" s="2547"/>
      <c r="D23" s="2547"/>
      <c r="E23" s="2547"/>
      <c r="F23" s="2547"/>
      <c r="G23" s="2547"/>
      <c r="H23" s="2547"/>
      <c r="I23" s="2547"/>
      <c r="J23" s="2547"/>
      <c r="K23" s="2547"/>
      <c r="L23" s="318"/>
    </row>
    <row r="24" spans="2:12" ht="4.5" customHeight="1" x14ac:dyDescent="0.2">
      <c r="B24" s="1384"/>
      <c r="C24" s="1384"/>
      <c r="D24" s="1332"/>
      <c r="E24" s="1332"/>
      <c r="F24" s="1332"/>
      <c r="G24" s="1333"/>
      <c r="H24" s="1332"/>
      <c r="I24" s="1333"/>
      <c r="J24" s="1332"/>
      <c r="K24" s="1332"/>
      <c r="L24" s="318"/>
    </row>
    <row r="25" spans="2:12" ht="13.5" customHeight="1" x14ac:dyDescent="0.2">
      <c r="B25" s="1382" t="s">
        <v>1857</v>
      </c>
      <c r="C25" s="1382"/>
      <c r="D25" s="318"/>
      <c r="E25" s="318"/>
      <c r="F25" s="318"/>
      <c r="G25" s="1288"/>
      <c r="H25" s="318"/>
      <c r="I25" s="1288"/>
      <c r="J25" s="318"/>
      <c r="K25" s="318"/>
      <c r="L25" s="318"/>
    </row>
    <row r="26" spans="2:12" ht="37.5" customHeight="1" x14ac:dyDescent="0.2">
      <c r="B26" s="2547"/>
      <c r="C26" s="2547"/>
      <c r="D26" s="2547"/>
      <c r="E26" s="2547"/>
      <c r="F26" s="2547"/>
      <c r="G26" s="2547"/>
      <c r="H26" s="2547"/>
      <c r="I26" s="2547"/>
      <c r="J26" s="2547"/>
      <c r="K26" s="2547"/>
      <c r="L26" s="318"/>
    </row>
    <row r="27" spans="2:12" ht="4.5" customHeight="1" x14ac:dyDescent="0.2">
      <c r="B27" s="1386"/>
      <c r="C27" s="1386"/>
      <c r="D27" s="1386"/>
      <c r="E27" s="1332"/>
      <c r="F27" s="1332"/>
      <c r="G27" s="1333"/>
      <c r="H27" s="1332"/>
      <c r="I27" s="1333"/>
      <c r="J27" s="1332"/>
      <c r="K27" s="1332"/>
      <c r="L27" s="318"/>
    </row>
    <row r="28" spans="2:12" ht="13.5" customHeight="1" x14ac:dyDescent="0.2">
      <c r="B28" s="1382" t="s">
        <v>1858</v>
      </c>
      <c r="C28" s="1382"/>
      <c r="D28" s="318"/>
      <c r="E28" s="318"/>
      <c r="F28" s="318"/>
      <c r="G28" s="1288"/>
      <c r="H28" s="318"/>
      <c r="I28" s="1288"/>
      <c r="J28" s="318"/>
      <c r="K28" s="318"/>
      <c r="L28" s="318"/>
    </row>
    <row r="29" spans="2:12" ht="37.5" customHeight="1" x14ac:dyDescent="0.2">
      <c r="B29" s="2547"/>
      <c r="C29" s="2547"/>
      <c r="D29" s="2547"/>
      <c r="E29" s="2547"/>
      <c r="F29" s="2547"/>
      <c r="G29" s="2547"/>
      <c r="H29" s="2547"/>
      <c r="I29" s="2547"/>
      <c r="J29" s="2547"/>
      <c r="K29" s="2547"/>
      <c r="L29" s="318"/>
    </row>
    <row r="30" spans="2:12" ht="4.5" customHeight="1" x14ac:dyDescent="0.2">
      <c r="B30" s="1384"/>
      <c r="C30" s="1384"/>
      <c r="D30" s="1332"/>
      <c r="E30" s="1332"/>
      <c r="F30" s="1332"/>
      <c r="G30" s="1333"/>
      <c r="H30" s="1332"/>
      <c r="I30" s="1333"/>
      <c r="J30" s="1332"/>
      <c r="K30" s="1332"/>
      <c r="L30" s="318"/>
    </row>
    <row r="31" spans="2:12" ht="13.5" customHeight="1" x14ac:dyDescent="0.2">
      <c r="B31" s="1382" t="s">
        <v>1365</v>
      </c>
      <c r="C31" s="1382"/>
      <c r="D31" s="318"/>
      <c r="E31" s="318"/>
      <c r="F31" s="318"/>
      <c r="G31" s="1288"/>
      <c r="H31" s="318"/>
      <c r="I31" s="1288"/>
      <c r="J31" s="318"/>
      <c r="K31" s="318"/>
      <c r="L31" s="318"/>
    </row>
    <row r="32" spans="2:12" ht="37.5" customHeight="1" x14ac:dyDescent="0.2">
      <c r="B32" s="2547"/>
      <c r="C32" s="2547"/>
      <c r="D32" s="2547"/>
      <c r="E32" s="2547"/>
      <c r="F32" s="2547"/>
      <c r="G32" s="2547"/>
      <c r="H32" s="2547"/>
      <c r="I32" s="2547"/>
      <c r="J32" s="2547"/>
      <c r="K32" s="2547"/>
      <c r="L32" s="318"/>
    </row>
    <row r="33" spans="2:12" ht="4.5" customHeight="1" x14ac:dyDescent="0.2">
      <c r="B33" s="1384"/>
      <c r="C33" s="1384"/>
      <c r="D33" s="1332"/>
      <c r="E33" s="1332"/>
      <c r="F33" s="1332"/>
      <c r="G33" s="1333"/>
      <c r="H33" s="1332"/>
      <c r="I33" s="1333"/>
      <c r="J33" s="1332"/>
      <c r="K33" s="1332"/>
      <c r="L33" s="318"/>
    </row>
    <row r="34" spans="2:12" ht="13.5" customHeight="1" x14ac:dyDescent="0.2">
      <c r="B34" s="1289" t="s">
        <v>1364</v>
      </c>
      <c r="C34" s="1289"/>
      <c r="D34" s="318"/>
      <c r="E34" s="318"/>
      <c r="F34" s="318"/>
      <c r="G34" s="1288"/>
      <c r="H34" s="318"/>
      <c r="I34" s="1288"/>
      <c r="J34" s="318"/>
      <c r="K34" s="318"/>
      <c r="L34" s="318"/>
    </row>
    <row r="35" spans="2:12" ht="37.5" customHeight="1" x14ac:dyDescent="0.2">
      <c r="B35" s="2547"/>
      <c r="C35" s="2547"/>
      <c r="D35" s="2547"/>
      <c r="E35" s="2547"/>
      <c r="F35" s="2547"/>
      <c r="G35" s="2547"/>
      <c r="H35" s="2547"/>
      <c r="I35" s="2547"/>
      <c r="J35" s="2547"/>
      <c r="K35" s="2547"/>
      <c r="L35" s="318"/>
    </row>
    <row r="36" spans="2:12" ht="4.5" customHeight="1" x14ac:dyDescent="0.2">
      <c r="B36" s="1384"/>
      <c r="C36" s="1384"/>
      <c r="D36" s="1332"/>
      <c r="E36" s="1332"/>
      <c r="F36" s="1332"/>
      <c r="G36" s="1333"/>
      <c r="H36" s="1332"/>
      <c r="I36" s="1333"/>
      <c r="J36" s="1332"/>
      <c r="K36" s="1332"/>
      <c r="L36" s="318"/>
    </row>
    <row r="37" spans="2:12" ht="13.5" customHeight="1" x14ac:dyDescent="0.2">
      <c r="B37" s="1289" t="s">
        <v>1363</v>
      </c>
      <c r="C37" s="1289"/>
      <c r="D37" s="318"/>
      <c r="E37" s="318"/>
      <c r="F37" s="318"/>
      <c r="G37" s="1288"/>
      <c r="H37" s="318"/>
      <c r="I37" s="1288"/>
      <c r="J37" s="318"/>
      <c r="K37" s="318"/>
      <c r="L37" s="318"/>
    </row>
    <row r="38" spans="2:12" ht="35.25" customHeight="1" x14ac:dyDescent="0.2">
      <c r="B38" s="2547"/>
      <c r="C38" s="2547"/>
      <c r="D38" s="2547"/>
      <c r="E38" s="2547"/>
      <c r="F38" s="2547"/>
      <c r="G38" s="2547"/>
      <c r="H38" s="2547"/>
      <c r="I38" s="2547"/>
      <c r="J38" s="2547"/>
      <c r="K38" s="2547"/>
      <c r="L38" s="318"/>
    </row>
    <row r="39" spans="2:12" ht="4.5" customHeight="1" x14ac:dyDescent="0.2">
      <c r="B39" s="1307"/>
      <c r="C39" s="1307"/>
      <c r="D39" s="318"/>
      <c r="E39" s="318"/>
      <c r="F39" s="318"/>
      <c r="G39" s="1288"/>
      <c r="H39" s="318"/>
      <c r="I39" s="1288"/>
      <c r="J39" s="318"/>
      <c r="K39" s="318"/>
      <c r="L39" s="318"/>
    </row>
    <row r="40" spans="2:12" s="318" customFormat="1" ht="13.5" customHeight="1" x14ac:dyDescent="0.2">
      <c r="B40" s="1308" t="s">
        <v>1859</v>
      </c>
      <c r="C40" s="1308"/>
      <c r="D40" s="1283"/>
      <c r="E40" s="1284"/>
      <c r="F40" s="1284"/>
      <c r="G40" s="1285"/>
      <c r="H40" s="1284"/>
      <c r="I40" s="1285"/>
      <c r="J40" s="1284"/>
      <c r="K40" s="1284"/>
    </row>
    <row r="41" spans="2:12" s="318" customFormat="1" ht="33.75" customHeight="1" x14ac:dyDescent="0.2">
      <c r="B41" s="2547"/>
      <c r="C41" s="2547"/>
      <c r="D41" s="2547"/>
      <c r="E41" s="2547"/>
      <c r="F41" s="2547"/>
      <c r="G41" s="2547"/>
      <c r="H41" s="2547"/>
      <c r="I41" s="2547"/>
      <c r="J41" s="2547"/>
      <c r="K41" s="2547"/>
    </row>
    <row r="42" spans="2:12" s="318" customFormat="1" ht="4.5" customHeight="1" x14ac:dyDescent="0.2">
      <c r="B42" s="1307"/>
      <c r="C42" s="1307"/>
      <c r="G42" s="1288"/>
      <c r="I42" s="1288"/>
    </row>
    <row r="43" spans="2:12" s="318" customFormat="1" ht="13.5" customHeight="1" x14ac:dyDescent="0.2">
      <c r="B43" s="1387" t="s">
        <v>1352</v>
      </c>
      <c r="C43" s="1388"/>
      <c r="D43" s="1309"/>
      <c r="E43" s="1309"/>
      <c r="F43" s="1309"/>
      <c r="G43" s="1310"/>
      <c r="H43" s="1309"/>
      <c r="I43" s="1310"/>
      <c r="J43" s="1309"/>
      <c r="K43" s="1311"/>
      <c r="L43" s="1389"/>
    </row>
    <row r="44" spans="2:12" s="318" customFormat="1" ht="13.5" customHeight="1" x14ac:dyDescent="0.2">
      <c r="B44" s="1312" t="s">
        <v>1351</v>
      </c>
      <c r="C44" s="1313"/>
      <c r="D44" s="1390"/>
      <c r="E44" s="1314"/>
      <c r="F44" s="1318" t="s">
        <v>1350</v>
      </c>
      <c r="G44" s="1316"/>
      <c r="H44" s="1315"/>
      <c r="I44" s="1316"/>
      <c r="J44" s="1391"/>
      <c r="K44" s="1392"/>
      <c r="L44" s="1389"/>
    </row>
    <row r="45" spans="2:12" s="318" customFormat="1" ht="13.5" customHeight="1" x14ac:dyDescent="0.2">
      <c r="B45" s="1312" t="s">
        <v>1349</v>
      </c>
      <c r="C45" s="1313"/>
      <c r="D45" s="1391"/>
      <c r="E45" s="1315"/>
      <c r="F45" s="1318" t="s">
        <v>1348</v>
      </c>
      <c r="G45" s="1316"/>
      <c r="H45" s="1315"/>
      <c r="I45" s="1316"/>
      <c r="J45" s="1391"/>
      <c r="K45" s="1392"/>
      <c r="L45" s="1389"/>
    </row>
    <row r="46" spans="2:12" s="318" customFormat="1" ht="13.5" customHeight="1" x14ac:dyDescent="0.2">
      <c r="B46" s="1319"/>
      <c r="C46" s="1317"/>
      <c r="D46" s="1317"/>
      <c r="E46" s="1317"/>
      <c r="F46" s="1317"/>
      <c r="G46" s="1320"/>
      <c r="H46" s="1317"/>
      <c r="I46" s="1320"/>
      <c r="J46" s="1317"/>
      <c r="K46" s="1321"/>
      <c r="L46" s="1389"/>
    </row>
    <row r="47" spans="2:12" ht="7.5" customHeight="1" x14ac:dyDescent="0.25">
      <c r="B47" s="1393"/>
      <c r="C47" s="1393"/>
      <c r="D47" s="1394"/>
      <c r="E47" s="1394"/>
      <c r="F47" s="1394"/>
      <c r="G47" s="1395"/>
      <c r="H47" s="1394"/>
      <c r="I47" s="1395"/>
      <c r="J47" s="1394"/>
      <c r="K47" s="1394"/>
    </row>
    <row r="48" spans="2:12" ht="13.5" customHeight="1" x14ac:dyDescent="0.2">
      <c r="B48" s="1324" t="s">
        <v>1860</v>
      </c>
      <c r="C48" s="1324"/>
      <c r="D48" s="318"/>
      <c r="E48" s="318"/>
      <c r="F48" s="318"/>
    </row>
    <row r="49" spans="2:3" s="313" customFormat="1" ht="10.5" customHeight="1" x14ac:dyDescent="0.2">
      <c r="B49" s="1325" t="s">
        <v>1861</v>
      </c>
      <c r="C49" s="1325"/>
    </row>
    <row r="50" spans="2:3" s="313" customFormat="1" ht="11.1" customHeight="1" x14ac:dyDescent="0.2">
      <c r="B50" s="1325" t="s">
        <v>1862</v>
      </c>
      <c r="C50" s="1325"/>
    </row>
    <row r="51" spans="2:3" s="313" customFormat="1" ht="11.1" customHeight="1" x14ac:dyDescent="0.2">
      <c r="B51" s="1325" t="s">
        <v>1863</v>
      </c>
      <c r="C51" s="1325"/>
    </row>
    <row r="52" spans="2:3" s="313" customFormat="1" ht="11.1" customHeight="1" x14ac:dyDescent="0.2">
      <c r="B52" s="1325" t="s">
        <v>1864</v>
      </c>
      <c r="C52" s="132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B1:E63"/>
  <sheetViews>
    <sheetView showGridLines="0" zoomScale="110" zoomScaleNormal="110" workbookViewId="0">
      <selection activeCell="D15" sqref="D15"/>
    </sheetView>
  </sheetViews>
  <sheetFormatPr defaultColWidth="9.140625" defaultRowHeight="12.75" x14ac:dyDescent="0.2"/>
  <cols>
    <col min="1" max="1" width="1.5703125" style="313" customWidth="1"/>
    <col min="2" max="2" width="16"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3" customFormat="1" ht="12.75" customHeight="1" x14ac:dyDescent="0.2">
      <c r="B1" s="2532" t="str">
        <f>'Single Audit Cover'!A7</f>
        <v>Champaign Community Unit School District 4</v>
      </c>
      <c r="C1" s="2532"/>
      <c r="D1" s="2532"/>
      <c r="E1" s="1396"/>
    </row>
    <row r="2" spans="2:5" s="1193" customFormat="1" ht="12.75" customHeight="1" x14ac:dyDescent="0.2">
      <c r="B2" s="2534">
        <f>'Single Audit Cover'!E7</f>
        <v>9010004026</v>
      </c>
      <c r="C2" s="2534"/>
      <c r="D2" s="2534"/>
      <c r="E2" s="1397"/>
    </row>
    <row r="3" spans="2:5" ht="12.75" customHeight="1" x14ac:dyDescent="0.2">
      <c r="B3" s="2548" t="s">
        <v>1865</v>
      </c>
      <c r="C3" s="2548"/>
      <c r="D3" s="2548"/>
      <c r="E3" s="1185"/>
    </row>
    <row r="4" spans="2:5" s="1193" customFormat="1" ht="12.75" customHeight="1" x14ac:dyDescent="0.2">
      <c r="B4" s="2558" t="str">
        <f>'Single Audit Cover'!A4</f>
        <v>Year Ending June 30, 2018</v>
      </c>
      <c r="C4" s="2558"/>
      <c r="D4" s="2558"/>
      <c r="E4" s="1398"/>
    </row>
    <row r="5" spans="2:5" s="1193" customFormat="1" ht="40.15" customHeight="1" x14ac:dyDescent="0.2">
      <c r="B5" s="1399" t="s">
        <v>1866</v>
      </c>
      <c r="C5" s="324"/>
      <c r="D5" s="324"/>
      <c r="E5" s="324"/>
    </row>
    <row r="6" spans="2:5" s="1193" customFormat="1" ht="13.15" customHeight="1" x14ac:dyDescent="0.2">
      <c r="B6" s="1400" t="s">
        <v>1381</v>
      </c>
      <c r="C6" s="1400" t="s">
        <v>1380</v>
      </c>
      <c r="D6" s="1400" t="s">
        <v>1867</v>
      </c>
    </row>
    <row r="7" spans="2:5" ht="79.150000000000006" customHeight="1" x14ac:dyDescent="0.2">
      <c r="B7" s="1994" t="s">
        <v>2211</v>
      </c>
      <c r="C7" s="2012" t="s">
        <v>2212</v>
      </c>
      <c r="D7" s="2012" t="s">
        <v>2213</v>
      </c>
      <c r="E7" s="320"/>
    </row>
    <row r="8" spans="2:5" ht="13.5" customHeight="1" x14ac:dyDescent="0.2">
      <c r="B8" s="1994"/>
      <c r="C8" s="1992"/>
      <c r="D8" s="1993"/>
      <c r="E8" s="320"/>
    </row>
    <row r="9" spans="2:5" ht="60.6" customHeight="1" x14ac:dyDescent="0.2">
      <c r="B9" s="1994" t="s">
        <v>2214</v>
      </c>
      <c r="C9" s="2011" t="s">
        <v>2215</v>
      </c>
      <c r="D9" s="2011" t="s">
        <v>2216</v>
      </c>
      <c r="E9" s="320"/>
    </row>
    <row r="10" spans="2:5" ht="13.5" customHeight="1" x14ac:dyDescent="0.2">
      <c r="B10" s="1402"/>
      <c r="C10" s="1991"/>
      <c r="D10" s="1991"/>
      <c r="E10" s="319"/>
    </row>
    <row r="11" spans="2:5" ht="13.5" customHeight="1" x14ac:dyDescent="0.2">
      <c r="B11" s="1401"/>
      <c r="C11" s="1991"/>
      <c r="D11" s="319"/>
      <c r="E11" s="319"/>
    </row>
    <row r="12" spans="2:5" ht="13.5" customHeight="1" x14ac:dyDescent="0.2">
      <c r="B12" s="1401"/>
      <c r="C12" s="1991"/>
      <c r="D12" s="319"/>
      <c r="E12" s="319"/>
    </row>
    <row r="13" spans="2:5" ht="13.5" customHeight="1" x14ac:dyDescent="0.2">
      <c r="B13" s="1401"/>
      <c r="C13" s="319"/>
      <c r="D13" s="319"/>
      <c r="E13" s="319"/>
    </row>
    <row r="14" spans="2:5" ht="13.5" customHeight="1" x14ac:dyDescent="0.2">
      <c r="B14" s="1401"/>
      <c r="C14" s="319"/>
      <c r="D14" s="319"/>
      <c r="E14" s="319"/>
    </row>
    <row r="15" spans="2:5" ht="13.5" customHeight="1" x14ac:dyDescent="0.2">
      <c r="B15" s="1401"/>
      <c r="C15" s="319"/>
      <c r="D15" s="319"/>
      <c r="E15" s="319"/>
    </row>
    <row r="16" spans="2:5" ht="13.5" customHeight="1" x14ac:dyDescent="0.2">
      <c r="B16" s="1401"/>
      <c r="C16" s="319"/>
      <c r="D16" s="319"/>
      <c r="E16" s="319"/>
    </row>
    <row r="17" spans="2:5" ht="13.5" customHeight="1" x14ac:dyDescent="0.2">
      <c r="B17" s="1401"/>
      <c r="C17" s="319"/>
      <c r="D17" s="319"/>
      <c r="E17" s="319"/>
    </row>
    <row r="18" spans="2:5" ht="13.5" customHeight="1" x14ac:dyDescent="0.2">
      <c r="B18" s="1401"/>
      <c r="C18" s="319"/>
      <c r="D18" s="319"/>
      <c r="E18" s="319"/>
    </row>
    <row r="19" spans="2:5" ht="13.5" customHeight="1" x14ac:dyDescent="0.2">
      <c r="B19" s="1401"/>
      <c r="C19" s="319"/>
      <c r="D19" s="319"/>
      <c r="E19" s="319"/>
    </row>
    <row r="20" spans="2:5" ht="13.5" customHeight="1" x14ac:dyDescent="0.2">
      <c r="B20" s="1401"/>
      <c r="C20" s="319"/>
      <c r="D20" s="319"/>
      <c r="E20" s="319"/>
    </row>
    <row r="21" spans="2:5" ht="13.5" customHeight="1" x14ac:dyDescent="0.2">
      <c r="B21" s="1401"/>
      <c r="C21" s="319"/>
      <c r="D21" s="319"/>
      <c r="E21" s="319"/>
    </row>
    <row r="22" spans="2:5" ht="13.5" customHeight="1" x14ac:dyDescent="0.2">
      <c r="B22" s="1403"/>
      <c r="C22" s="319"/>
      <c r="D22" s="319"/>
      <c r="E22" s="319"/>
    </row>
    <row r="23" spans="2:5" ht="13.5" customHeight="1" x14ac:dyDescent="0.2">
      <c r="B23" s="1404"/>
      <c r="C23" s="319"/>
      <c r="D23" s="319"/>
      <c r="E23" s="319"/>
    </row>
    <row r="24" spans="2:5" ht="13.5" customHeight="1" x14ac:dyDescent="0.2">
      <c r="B24" s="1405"/>
      <c r="C24" s="319"/>
      <c r="D24" s="319"/>
      <c r="E24" s="319"/>
    </row>
    <row r="25" spans="2:5" ht="13.5" customHeight="1" x14ac:dyDescent="0.2">
      <c r="B25" s="1404"/>
      <c r="C25" s="319"/>
      <c r="D25" s="319"/>
      <c r="E25" s="319"/>
    </row>
    <row r="26" spans="2:5" ht="13.5" customHeight="1" x14ac:dyDescent="0.2">
      <c r="B26" s="1405"/>
      <c r="C26" s="319"/>
      <c r="D26" s="319"/>
      <c r="E26" s="319"/>
    </row>
    <row r="27" spans="2:5" ht="13.5" customHeight="1" x14ac:dyDescent="0.2">
      <c r="B27" s="1405"/>
      <c r="C27" s="319"/>
      <c r="D27" s="319"/>
      <c r="E27" s="319"/>
    </row>
    <row r="28" spans="2:5" ht="13.5" customHeight="1" x14ac:dyDescent="0.2">
      <c r="B28" s="1404"/>
      <c r="C28" s="319"/>
      <c r="D28" s="319"/>
      <c r="E28" s="319"/>
    </row>
    <row r="29" spans="2:5" ht="13.5" customHeight="1" x14ac:dyDescent="0.2">
      <c r="B29" s="1405"/>
      <c r="C29" s="319"/>
      <c r="D29" s="319"/>
      <c r="E29" s="319"/>
    </row>
    <row r="30" spans="2:5" ht="13.5" customHeight="1" x14ac:dyDescent="0.2">
      <c r="B30" s="1404"/>
      <c r="C30" s="319"/>
      <c r="D30" s="319"/>
      <c r="E30" s="319"/>
    </row>
    <row r="31" spans="2:5" ht="13.5" customHeight="1" x14ac:dyDescent="0.2">
      <c r="B31" s="1406"/>
      <c r="C31" s="319"/>
      <c r="D31" s="319"/>
      <c r="E31" s="319"/>
    </row>
    <row r="32" spans="2:5" ht="13.5" customHeight="1" x14ac:dyDescent="0.2">
      <c r="B32" s="1407"/>
      <c r="C32" s="319"/>
      <c r="D32" s="319"/>
      <c r="E32" s="319"/>
    </row>
    <row r="33" spans="2:5" ht="12.75" customHeight="1" x14ac:dyDescent="0.2">
      <c r="B33" s="1408"/>
      <c r="C33" s="1409"/>
      <c r="D33" s="1409"/>
      <c r="E33" s="319"/>
    </row>
    <row r="34" spans="2:5" ht="12.2" customHeight="1" x14ac:dyDescent="0.2">
      <c r="B34" s="1168" t="s">
        <v>1379</v>
      </c>
      <c r="C34" s="318"/>
    </row>
    <row r="35" spans="2:5" ht="12.2" customHeight="1" x14ac:dyDescent="0.2">
      <c r="B35" s="1410" t="s">
        <v>1868</v>
      </c>
    </row>
    <row r="36" spans="2:5" ht="12.2" customHeight="1" x14ac:dyDescent="0.2">
      <c r="B36" s="1410" t="s">
        <v>1869</v>
      </c>
    </row>
    <row r="37" spans="2:5" ht="12.2" customHeight="1" x14ac:dyDescent="0.2">
      <c r="B37" s="1411" t="s">
        <v>1378</v>
      </c>
    </row>
    <row r="38" spans="2:5" ht="12.2" customHeight="1" x14ac:dyDescent="0.2">
      <c r="B38" s="1411" t="s">
        <v>1377</v>
      </c>
    </row>
    <row r="39" spans="2:5" ht="12.2" customHeight="1" x14ac:dyDescent="0.2">
      <c r="B39" s="1411" t="s">
        <v>1376</v>
      </c>
    </row>
    <row r="40" spans="2:5" ht="12.2" customHeight="1" x14ac:dyDescent="0.2">
      <c r="B40" s="1411" t="s">
        <v>1375</v>
      </c>
    </row>
    <row r="43" spans="2:5" ht="12.75" customHeight="1" x14ac:dyDescent="0.2"/>
    <row r="44" spans="2:5" ht="12.75" customHeight="1" x14ac:dyDescent="0.2">
      <c r="B44" s="1178"/>
    </row>
    <row r="45" spans="2:5" ht="12.75" customHeight="1" x14ac:dyDescent="0.2"/>
    <row r="46" spans="2:5" ht="12.75" customHeight="1" x14ac:dyDescent="0.2">
      <c r="B46" s="318"/>
      <c r="C46" s="318"/>
      <c r="D46" s="318"/>
      <c r="E46" s="318"/>
    </row>
    <row r="47" spans="2:5" ht="12.75" customHeight="1" x14ac:dyDescent="0.2">
      <c r="B47" s="318"/>
      <c r="C47" s="318"/>
      <c r="D47" s="318"/>
      <c r="E47" s="318"/>
    </row>
    <row r="48" spans="2:5" ht="12.75" customHeight="1" x14ac:dyDescent="0.2">
      <c r="B48" s="318"/>
      <c r="C48" s="318"/>
      <c r="D48" s="318"/>
      <c r="E48" s="318"/>
    </row>
    <row r="49" spans="2:5" ht="12.75" customHeight="1" x14ac:dyDescent="0.2">
      <c r="B49" s="318"/>
      <c r="C49" s="318"/>
      <c r="D49" s="318"/>
      <c r="E49" s="318"/>
    </row>
    <row r="50" spans="2:5" ht="12.75" customHeight="1" x14ac:dyDescent="0.2">
      <c r="B50" s="318"/>
      <c r="C50" s="318"/>
      <c r="D50" s="318"/>
      <c r="E50" s="318"/>
    </row>
    <row r="51" spans="2:5" ht="12.75" customHeight="1" x14ac:dyDescent="0.2">
      <c r="B51" s="318"/>
      <c r="C51" s="318"/>
      <c r="D51" s="318"/>
      <c r="E51" s="318"/>
    </row>
    <row r="52" spans="2:5" ht="12.75" customHeight="1" x14ac:dyDescent="0.2">
      <c r="B52" s="318"/>
      <c r="C52" s="318"/>
      <c r="D52" s="318"/>
      <c r="E52" s="318"/>
    </row>
    <row r="53" spans="2:5" ht="12.75" customHeight="1" x14ac:dyDescent="0.2">
      <c r="B53" s="318"/>
      <c r="C53" s="318"/>
      <c r="D53" s="318"/>
      <c r="E53" s="318"/>
    </row>
    <row r="57" spans="2:5" x14ac:dyDescent="0.2">
      <c r="B57" s="1324"/>
    </row>
    <row r="58" spans="2:5" x14ac:dyDescent="0.2">
      <c r="B58" s="1211"/>
    </row>
    <row r="59" spans="2:5" x14ac:dyDescent="0.2">
      <c r="B59" s="1211"/>
    </row>
    <row r="60" spans="2:5" x14ac:dyDescent="0.2">
      <c r="B60" s="1325"/>
    </row>
    <row r="61" spans="2:5" x14ac:dyDescent="0.2">
      <c r="B61" s="1325"/>
    </row>
    <row r="62" spans="2:5" x14ac:dyDescent="0.2">
      <c r="B62" s="1325"/>
    </row>
    <row r="63" spans="2:5" x14ac:dyDescent="0.2">
      <c r="B63" s="1211"/>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18</vt:i4>
      </vt:variant>
    </vt:vector>
  </HeadingPairs>
  <TitlesOfParts>
    <vt:vector size="52"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 SEFA </vt:lpstr>
      <vt:lpstr>SEFA NOTES</vt:lpstr>
      <vt:lpstr>SF&amp;QC Sec-1</vt:lpstr>
      <vt:lpstr>SF&amp;QC Sec-2</vt:lpstr>
      <vt:lpstr>SF&amp;QC Sec-3 </vt:lpstr>
      <vt:lpstr>SF&amp;QC Sec-4</vt:lpstr>
      <vt:lpstr>SSPAF</vt:lpstr>
      <vt:lpstr>' SEFA '!Print_Area</vt:lpstr>
      <vt:lpstr>'SEFA NOTES'!Print_Area</vt:lpstr>
      <vt:lpstr>'SEFA Reconcile'!Print_Area</vt:lpstr>
      <vt:lpstr>'SF&amp;QC Sec-1'!Print_Area</vt:lpstr>
      <vt:lpstr>'SF&amp;QC Sec-4'!Print_Area</vt:lpstr>
      <vt:lpstr>'Shared Outsourced Services 31'!Print_Area</vt:lpstr>
      <vt:lpstr>'Single Audit Checklist'!Print_Area</vt:lpstr>
      <vt:lpstr>'Single Audit Cover'!Print_Area</vt:lpstr>
      <vt:lpstr>' SEFA '!Print_Titles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OLSON RICHARD</cp:lastModifiedBy>
  <cp:lastPrinted>2019-01-11T01:34:27Z</cp:lastPrinted>
  <dcterms:created xsi:type="dcterms:W3CDTF">2003-10-29T19:06:34Z</dcterms:created>
  <dcterms:modified xsi:type="dcterms:W3CDTF">2019-01-31T19:51:23Z</dcterms:modified>
</cp:coreProperties>
</file>