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B7729" i="106"/>
  <c r="D7729" i="106" s="1"/>
  <c r="B7734" i="106"/>
  <c r="B7726" i="106"/>
  <c r="D7726" i="106" s="1"/>
  <c r="D76" i="36"/>
  <c r="F162" i="34"/>
  <c r="B30" i="36"/>
  <c r="B33" i="36" s="1"/>
  <c r="B43" i="36" s="1"/>
  <c r="B56" i="36" s="1"/>
  <c r="B66" i="36" s="1"/>
  <c r="B70" i="36" s="1"/>
  <c r="B74" i="36" s="1"/>
  <c r="D73" i="36"/>
  <c r="C191" i="5"/>
  <c r="C201" i="5"/>
  <c r="C211" i="5"/>
  <c r="C216" i="5"/>
  <c r="C224" i="5"/>
  <c r="C228" i="5"/>
  <c r="C259" i="5"/>
  <c r="B7761" i="106"/>
  <c r="D7761" i="106" s="1"/>
  <c r="L127" i="29"/>
  <c r="L129" i="29" s="1"/>
  <c r="L139" i="29"/>
  <c r="L149" i="29"/>
  <c r="I7" i="145"/>
  <c r="I6" i="145"/>
  <c r="D78" i="36"/>
  <c r="K75" i="29"/>
  <c r="K130" i="29"/>
  <c r="K185" i="29"/>
  <c r="F62" i="34" s="1"/>
  <c r="K122" i="29"/>
  <c r="E26" i="108" s="1"/>
  <c r="K67" i="29"/>
  <c r="K64" i="29"/>
  <c r="K59" i="29"/>
  <c r="F26" i="108" s="1"/>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K63" i="29"/>
  <c r="B1130" i="106" s="1"/>
  <c r="D1130" i="106" s="1"/>
  <c r="D1132" i="106"/>
  <c r="K68" i="29"/>
  <c r="G34" i="108" s="1"/>
  <c r="K69" i="29"/>
  <c r="K70" i="29"/>
  <c r="B1137" i="106" s="1"/>
  <c r="D1137" i="106" s="1"/>
  <c r="D1138" i="106"/>
  <c r="K71" i="29"/>
  <c r="B1139" i="106" s="1"/>
  <c r="D1139" i="106" s="1"/>
  <c r="D1140" i="106"/>
  <c r="K73" i="29"/>
  <c r="K78" i="29"/>
  <c r="K79" i="29"/>
  <c r="B2974" i="106" s="1"/>
  <c r="D2974" i="106" s="1"/>
  <c r="K80" i="29"/>
  <c r="B2975" i="106" s="1"/>
  <c r="D2975" i="106" s="1"/>
  <c r="K81" i="29"/>
  <c r="K82" i="29"/>
  <c r="B2977" i="106" s="1"/>
  <c r="D2977" i="106" s="1"/>
  <c r="K83" i="29"/>
  <c r="B2978" i="106" s="1"/>
  <c r="D2978" i="106" s="1"/>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K188" i="29"/>
  <c r="B3007" i="106" s="1"/>
  <c r="D3007" i="106" s="1"/>
  <c r="K189" i="29"/>
  <c r="K190" i="29"/>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K222" i="29"/>
  <c r="B1471" i="106" s="1"/>
  <c r="D1471" i="106" s="1"/>
  <c r="K223" i="29"/>
  <c r="B1472" i="106" s="1"/>
  <c r="D1472" i="106" s="1"/>
  <c r="K224" i="29"/>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s="1"/>
  <c r="B5103" i="106"/>
  <c r="D5103" i="106" s="1"/>
  <c r="B5104" i="106"/>
  <c r="D5104" i="106" s="1"/>
  <c r="B5105" i="106"/>
  <c r="D5105" i="106"/>
  <c r="B5106" i="106"/>
  <c r="D5106" i="106" s="1"/>
  <c r="B5107" i="106"/>
  <c r="D5107" i="106" s="1"/>
  <c r="B5108" i="106"/>
  <c r="D5108" i="106" s="1"/>
  <c r="B5109" i="106"/>
  <c r="D5109" i="106"/>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c r="B6686" i="106"/>
  <c r="D6686" i="106" s="1"/>
  <c r="B6687" i="106"/>
  <c r="D6687" i="106" s="1"/>
  <c r="B6688" i="106"/>
  <c r="D6688" i="106" s="1"/>
  <c r="B6689" i="106"/>
  <c r="D6689" i="106" s="1"/>
  <c r="B6690" i="106"/>
  <c r="D6690" i="106" s="1"/>
  <c r="B6691" i="106"/>
  <c r="D6691" i="106" s="1"/>
  <c r="B6692" i="106"/>
  <c r="D6692" i="106" s="1"/>
  <c r="B6693" i="106"/>
  <c r="D6693" i="106"/>
  <c r="B6694" i="106"/>
  <c r="D6694" i="106" s="1"/>
  <c r="B6695" i="106"/>
  <c r="D6695" i="106" s="1"/>
  <c r="B6696" i="106"/>
  <c r="D6696" i="106" s="1"/>
  <c r="B6697" i="106"/>
  <c r="D6697" i="106" s="1"/>
  <c r="B6698" i="106"/>
  <c r="D6698" i="106" s="1"/>
  <c r="B6699" i="106"/>
  <c r="D6699" i="106" s="1"/>
  <c r="B6700" i="106"/>
  <c r="D6700" i="106" s="1"/>
  <c r="B6701" i="106"/>
  <c r="D6701" i="106"/>
  <c r="B6702" i="106"/>
  <c r="D6702" i="106" s="1"/>
  <c r="B6703" i="106"/>
  <c r="D6703" i="106" s="1"/>
  <c r="B6704" i="106"/>
  <c r="D6704" i="106" s="1"/>
  <c r="B6705" i="106"/>
  <c r="D6705" i="106" s="1"/>
  <c r="B6706" i="106"/>
  <c r="D6706" i="106" s="1"/>
  <c r="B6707" i="106"/>
  <c r="D6707" i="106" s="1"/>
  <c r="B6708" i="106"/>
  <c r="D6708" i="106" s="1"/>
  <c r="B6709" i="106"/>
  <c r="D6709" i="106"/>
  <c r="B6710" i="106"/>
  <c r="D6710" i="106" s="1"/>
  <c r="B6711" i="106"/>
  <c r="D6711" i="106" s="1"/>
  <c r="B6712" i="106"/>
  <c r="D6712" i="106" s="1"/>
  <c r="B6713" i="106"/>
  <c r="D6713" i="106" s="1"/>
  <c r="B6714" i="106"/>
  <c r="D6714" i="106" s="1"/>
  <c r="B6715" i="106"/>
  <c r="D6715" i="106" s="1"/>
  <c r="B6716" i="106"/>
  <c r="D6716" i="106" s="1"/>
  <c r="B6717" i="106"/>
  <c r="D6717" i="106"/>
  <c r="B6718" i="106"/>
  <c r="D6718" i="106" s="1"/>
  <c r="B6719" i="106"/>
  <c r="D6719" i="106" s="1"/>
  <c r="B6720" i="106"/>
  <c r="D6720" i="106" s="1"/>
  <c r="B6721" i="106"/>
  <c r="D6721" i="106" s="1"/>
  <c r="B6722" i="106"/>
  <c r="D6722" i="106" s="1"/>
  <c r="B6723" i="106"/>
  <c r="D6723" i="106" s="1"/>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5" i="106"/>
  <c r="D7065" i="106" s="1"/>
  <c r="B7066" i="106"/>
  <c r="D7066" i="106" s="1"/>
  <c r="B7067" i="106"/>
  <c r="D7067" i="106" s="1"/>
  <c r="B7069" i="106"/>
  <c r="D7069" i="106" s="1"/>
  <c r="B7070" i="106"/>
  <c r="D7070" i="106" s="1"/>
  <c r="I210" i="29"/>
  <c r="B7071" i="106" s="1"/>
  <c r="D7071" i="106" s="1"/>
  <c r="B7073" i="106"/>
  <c r="D7073" i="106" s="1"/>
  <c r="B7075" i="106"/>
  <c r="D7075"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57" i="127"/>
  <c r="B58" i="127"/>
  <c r="D26" i="108"/>
  <c r="G26" i="108"/>
  <c r="E27" i="108"/>
  <c r="G27" i="108"/>
  <c r="E28" i="108"/>
  <c r="F28" i="108"/>
  <c r="F36" i="108"/>
  <c r="F37" i="108"/>
  <c r="G28" i="108"/>
  <c r="E30" i="108"/>
  <c r="G30" i="108"/>
  <c r="D36" i="108"/>
  <c r="D37" i="108"/>
  <c r="E31" i="108"/>
  <c r="G31" i="108"/>
  <c r="E33" i="108"/>
  <c r="G33"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C14" i="4"/>
  <c r="B2558" i="106" s="1"/>
  <c r="D2558" i="106" s="1"/>
  <c r="F14" i="4"/>
  <c r="B2597" i="106" s="1"/>
  <c r="D2597" i="106" s="1"/>
  <c r="B2633" i="106"/>
  <c r="D2633" i="106" s="1"/>
  <c r="D7" i="118"/>
  <c r="D8" i="118"/>
  <c r="D9" i="118"/>
  <c r="H14" i="118"/>
  <c r="H19" i="118"/>
  <c r="H24" i="118"/>
  <c r="H28" i="118"/>
  <c r="D22" i="37"/>
  <c r="J22" i="37"/>
  <c r="L5" i="11"/>
  <c r="B2056" i="106" s="1"/>
  <c r="D2056" i="106" s="1"/>
  <c r="D4" i="7"/>
  <c r="B1760" i="106" s="1"/>
  <c r="D1760" i="106" s="1"/>
  <c r="D5" i="7"/>
  <c r="B1761" i="106" s="1"/>
  <c r="D1761" i="106" s="1"/>
  <c r="D9" i="7"/>
  <c r="B1767" i="106" s="1"/>
  <c r="D1767" i="106" s="1"/>
  <c r="B5752" i="106"/>
  <c r="D5752" i="106" s="1"/>
  <c r="B5599" i="106"/>
  <c r="D5599" i="106" s="1"/>
  <c r="D7" i="7"/>
  <c r="B1763" i="106" s="1"/>
  <c r="D1763" i="106" s="1"/>
  <c r="B1746" i="106"/>
  <c r="D1746" i="106" s="1"/>
  <c r="D17" i="7"/>
  <c r="B4104" i="106" s="1"/>
  <c r="D4104" i="106" s="1"/>
  <c r="D12" i="7"/>
  <c r="B1769" i="106" s="1"/>
  <c r="D1769" i="106" s="1"/>
  <c r="D11" i="7"/>
  <c r="B1768" i="106" s="1"/>
  <c r="D1768" i="106" s="1"/>
  <c r="B6006" i="106" l="1"/>
  <c r="D6006" i="106" s="1"/>
  <c r="K173" i="5"/>
  <c r="K6" i="4" s="1"/>
  <c r="B3570" i="106" s="1"/>
  <c r="D3570" i="106" s="1"/>
  <c r="B7199" i="106"/>
  <c r="D7199" i="106" s="1"/>
  <c r="C342" i="29"/>
  <c r="B7216" i="106" s="1"/>
  <c r="D7216" i="106" s="1"/>
  <c r="B6079" i="106"/>
  <c r="D6079" i="106" s="1"/>
  <c r="D24" i="37"/>
  <c r="B4270" i="106" s="1"/>
  <c r="D4270" i="106" s="1"/>
  <c r="H173" i="5"/>
  <c r="B5906" i="106" s="1"/>
  <c r="D5906" i="106" s="1"/>
  <c r="D13" i="7"/>
  <c r="B3726" i="106" s="1"/>
  <c r="D3726" i="106" s="1"/>
  <c r="G5" i="4"/>
  <c r="B3409" i="106" s="1"/>
  <c r="D3409" i="106" s="1"/>
  <c r="G172" i="5"/>
  <c r="G173" i="5" s="1"/>
  <c r="B5778" i="106" s="1"/>
  <c r="D5778" i="106" s="1"/>
  <c r="F94" i="34"/>
  <c r="B5096" i="106"/>
  <c r="D5096" i="106" s="1"/>
  <c r="B7231" i="106"/>
  <c r="D7231" i="106" s="1"/>
  <c r="J352" i="29"/>
  <c r="J367" i="29" s="1"/>
  <c r="B7245" i="106" s="1"/>
  <c r="I342" i="29"/>
  <c r="B7222" i="106" s="1"/>
  <c r="D7222" i="106" s="1"/>
  <c r="B7064" i="106"/>
  <c r="D7064" i="106" s="1"/>
  <c r="J210" i="29"/>
  <c r="B7072" i="106" s="1"/>
  <c r="D7072" i="106" s="1"/>
  <c r="G352" i="29"/>
  <c r="B3647" i="106"/>
  <c r="D3647" i="106" s="1"/>
  <c r="B1511" i="106"/>
  <c r="D1511" i="106" s="1"/>
  <c r="F72" i="34"/>
  <c r="G14" i="4"/>
  <c r="B2609" i="106" s="1"/>
  <c r="D2609" i="106" s="1"/>
  <c r="B7076" i="106"/>
  <c r="D7076" i="106" s="1"/>
  <c r="F68" i="34"/>
  <c r="B1473" i="106"/>
  <c r="D1473" i="106" s="1"/>
  <c r="F71" i="34"/>
  <c r="B1380" i="106"/>
  <c r="D1380" i="106" s="1"/>
  <c r="E38" i="108"/>
  <c r="E29" i="108"/>
  <c r="B3488" i="106"/>
  <c r="D3488" i="106" s="1"/>
  <c r="J23" i="12"/>
  <c r="B7727" i="106"/>
  <c r="D7727" i="106" s="1"/>
  <c r="B5360" i="106"/>
  <c r="D5360" i="106" s="1"/>
  <c r="D5" i="4"/>
  <c r="B3406" i="106" s="1"/>
  <c r="D3406" i="106" s="1"/>
  <c r="C129" i="29"/>
  <c r="B1223" i="106"/>
  <c r="D1223" i="106" s="1"/>
  <c r="B1136" i="106"/>
  <c r="D1136" i="106" s="1"/>
  <c r="E35" i="108"/>
  <c r="B1129" i="106"/>
  <c r="D1129" i="106" s="1"/>
  <c r="G29" i="108"/>
  <c r="F27" i="108"/>
  <c r="D27" i="108"/>
  <c r="B1107" i="106"/>
  <c r="D1107" i="106" s="1"/>
  <c r="F38" i="34"/>
  <c r="B1053" i="106"/>
  <c r="D1053" i="106" s="1"/>
  <c r="H112" i="29"/>
  <c r="B7018" i="106" s="1"/>
  <c r="D7018" i="106" s="1"/>
  <c r="B2805" i="106"/>
  <c r="D2805" i="106" s="1"/>
  <c r="D14" i="4"/>
  <c r="B2570" i="106" s="1"/>
  <c r="D2570" i="106" s="1"/>
  <c r="J274" i="5"/>
  <c r="B7054" i="106" s="1"/>
  <c r="D7054" i="106" s="1"/>
  <c r="D6103" i="106"/>
  <c r="B4172" i="106"/>
  <c r="D4172" i="106" s="1"/>
  <c r="N22" i="3"/>
  <c r="B283" i="106" s="1"/>
  <c r="D283" i="106" s="1"/>
  <c r="F15" i="145"/>
  <c r="F19" i="145" s="1"/>
  <c r="B1274" i="106"/>
  <c r="D1274" i="106" s="1"/>
  <c r="B6261" i="106"/>
  <c r="D6261" i="106" s="1"/>
  <c r="J77" i="4"/>
  <c r="B6262" i="106" s="1"/>
  <c r="D6262" i="106" s="1"/>
  <c r="F106" i="34"/>
  <c r="B5847" i="106"/>
  <c r="D5847" i="106" s="1"/>
  <c r="F42" i="34"/>
  <c r="D7245" i="106"/>
  <c r="B4211" i="106"/>
  <c r="D4211" i="106" s="1"/>
  <c r="F64" i="34"/>
  <c r="B4996" i="106"/>
  <c r="D4996" i="106" s="1"/>
  <c r="H33" i="118"/>
  <c r="H365" i="29"/>
  <c r="B7242" i="106" s="1"/>
  <c r="D7242" i="106" s="1"/>
  <c r="B1470" i="106"/>
  <c r="D1470" i="106" s="1"/>
  <c r="F70" i="34"/>
  <c r="B1142" i="106"/>
  <c r="D1142" i="106" s="1"/>
  <c r="G38" i="108"/>
  <c r="F31" i="108"/>
  <c r="D31" i="108"/>
  <c r="B4411" i="106"/>
  <c r="D4411" i="106" s="1"/>
  <c r="F131" i="34"/>
  <c r="B6887" i="106"/>
  <c r="D6887" i="106" s="1"/>
  <c r="F44" i="34"/>
  <c r="F130" i="34"/>
  <c r="F50" i="34"/>
  <c r="D15" i="7"/>
  <c r="B1772" i="106" s="1"/>
  <c r="D1772" i="106" s="1"/>
  <c r="L367" i="29"/>
  <c r="F46" i="34"/>
  <c r="B2734" i="106"/>
  <c r="D2734" i="106" s="1"/>
  <c r="L22" i="37"/>
  <c r="B1940" i="106"/>
  <c r="D1940" i="106" s="1"/>
  <c r="D68" i="36"/>
  <c r="H342" i="29"/>
  <c r="K76" i="4"/>
  <c r="B3586" i="106" s="1"/>
  <c r="D3586" i="106" s="1"/>
  <c r="F21" i="8"/>
  <c r="K285" i="29"/>
  <c r="K184" i="29"/>
  <c r="F13" i="4" s="1"/>
  <c r="B2596" i="106" s="1"/>
  <c r="D2596" i="106" s="1"/>
  <c r="D69" i="36"/>
  <c r="K274" i="5"/>
  <c r="F111" i="34"/>
  <c r="I173" i="5"/>
  <c r="B4216" i="106" s="1"/>
  <c r="D4216" i="106" s="1"/>
  <c r="L342" i="29"/>
  <c r="F66" i="34"/>
  <c r="B7235" i="106"/>
  <c r="D7235" i="106" s="1"/>
  <c r="B3649" i="106"/>
  <c r="D3649" i="106" s="1"/>
  <c r="G367" i="29"/>
  <c r="H6" i="4"/>
  <c r="B2656" i="106" s="1"/>
  <c r="D2656" i="106" s="1"/>
  <c r="D109" i="5"/>
  <c r="B5356" i="106" s="1"/>
  <c r="D5356" i="106" s="1"/>
  <c r="F127" i="34"/>
  <c r="F49" i="34"/>
  <c r="H109" i="5"/>
  <c r="F128" i="34"/>
  <c r="B5770" i="106"/>
  <c r="D5770" i="106" s="1"/>
  <c r="F172" i="5"/>
  <c r="B5644" i="106" s="1"/>
  <c r="D5644" i="106" s="1"/>
  <c r="L312" i="29"/>
  <c r="F41" i="34"/>
  <c r="F35" i="34"/>
  <c r="J41" i="3"/>
  <c r="C352" i="29"/>
  <c r="K41" i="3"/>
  <c r="L15" i="11"/>
  <c r="B3459" i="106" s="1"/>
  <c r="D3459" i="106" s="1"/>
  <c r="K28" i="118"/>
  <c r="O27" i="118" s="1"/>
  <c r="O29" i="118" s="1"/>
  <c r="I24" i="12"/>
  <c r="E174" i="29"/>
  <c r="B1309" i="106" s="1"/>
  <c r="D1309" i="106" s="1"/>
  <c r="L13" i="11"/>
  <c r="B2060" i="106" s="1"/>
  <c r="D2060" i="106" s="1"/>
  <c r="F19" i="7"/>
  <c r="B1807" i="106" s="1"/>
  <c r="D1807" i="106" s="1"/>
  <c r="K350" i="29"/>
  <c r="G109" i="5"/>
  <c r="B6024" i="106" s="1"/>
  <c r="D6024" i="106" s="1"/>
  <c r="B1410" i="106"/>
  <c r="D1410" i="106" s="1"/>
  <c r="G210" i="29"/>
  <c r="B1329" i="106"/>
  <c r="D1329" i="106" s="1"/>
  <c r="F61" i="34"/>
  <c r="F77" i="4"/>
  <c r="B3255" i="106" s="1"/>
  <c r="D3255" i="106" s="1"/>
  <c r="E109" i="5"/>
  <c r="E4" i="4" s="1"/>
  <c r="B2630" i="106" s="1"/>
  <c r="D2630" i="106" s="1"/>
  <c r="C172" i="5"/>
  <c r="B5214" i="106" s="1"/>
  <c r="D5214" i="106" s="1"/>
  <c r="C109" i="5"/>
  <c r="B5121" i="106" s="1"/>
  <c r="D5121" i="106" s="1"/>
  <c r="B4268" i="106"/>
  <c r="D4268" i="106" s="1"/>
  <c r="D31" i="36"/>
  <c r="D11" i="37"/>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B5527" i="106" l="1"/>
  <c r="D5527" i="106" s="1"/>
  <c r="F274" i="5"/>
  <c r="F73" i="34"/>
  <c r="G15" i="4"/>
  <c r="B6032" i="106" s="1"/>
  <c r="D6032" i="106" s="1"/>
  <c r="G15" i="145"/>
  <c r="H275" i="5"/>
  <c r="B1381" i="106"/>
  <c r="D1381" i="106" s="1"/>
  <c r="D4" i="4"/>
  <c r="B2564" i="106" s="1"/>
  <c r="D2564" i="106" s="1"/>
  <c r="B1879" i="106"/>
  <c r="D1879" i="106" s="1"/>
  <c r="H22" i="37"/>
  <c r="D7256" i="106"/>
  <c r="D7251" i="106"/>
  <c r="D7253" i="106"/>
  <c r="K342" i="29"/>
  <c r="F13" i="34" s="1"/>
  <c r="B1996" i="106"/>
  <c r="D1996" i="106" s="1"/>
  <c r="I26" i="12"/>
  <c r="B7741" i="106" s="1"/>
  <c r="D7741" i="106" s="1"/>
  <c r="B3568" i="106"/>
  <c r="D3568" i="106" s="1"/>
  <c r="D52" i="36"/>
  <c r="D7254" i="106"/>
  <c r="D7250" i="106"/>
  <c r="H367" i="29"/>
  <c r="B3660" i="106" s="1"/>
  <c r="D3660" i="106" s="1"/>
  <c r="B3621" i="106"/>
  <c r="D3621" i="106" s="1"/>
  <c r="C367" i="29"/>
  <c r="B3622" i="106" s="1"/>
  <c r="D3622" i="106" s="1"/>
  <c r="B6025" i="106"/>
  <c r="D6025" i="106" s="1"/>
  <c r="H4" i="4"/>
  <c r="L16" i="11"/>
  <c r="B2061" i="106" s="1"/>
  <c r="D2061" i="106" s="1"/>
  <c r="B3670" i="106"/>
  <c r="D3670" i="106" s="1"/>
  <c r="K352" i="29"/>
  <c r="G4" i="4"/>
  <c r="B2603" i="106" s="1"/>
  <c r="D2603" i="106" s="1"/>
  <c r="B1365" i="106"/>
  <c r="D1365" i="106" s="1"/>
  <c r="F65" i="34"/>
  <c r="B1317" i="106"/>
  <c r="D1317" i="106" s="1"/>
  <c r="C114" i="29"/>
  <c r="B757" i="106" s="1"/>
  <c r="D757" i="106" s="1"/>
  <c r="F275" i="5"/>
  <c r="B5720" i="106" s="1"/>
  <c r="D5720" i="106" s="1"/>
  <c r="F6" i="4"/>
  <c r="B2593" i="106" s="1"/>
  <c r="D2593" i="106" s="1"/>
  <c r="C173" i="5"/>
  <c r="B5223" i="106" s="1"/>
  <c r="D522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B2655" i="106" l="1"/>
  <c r="D2655" i="106" s="1"/>
  <c r="H8" i="4"/>
  <c r="K13" i="4"/>
  <c r="B3572" i="106" s="1"/>
  <c r="D3572" i="106" s="1"/>
  <c r="B3672" i="106"/>
  <c r="D3672" i="106" s="1"/>
  <c r="K367" i="29"/>
  <c r="B3678" i="106" s="1"/>
  <c r="D3678" i="106" s="1"/>
  <c r="J17" i="4"/>
  <c r="G41" i="108"/>
  <c r="G44" i="108" s="1"/>
  <c r="G45" i="108" s="1"/>
  <c r="E41" i="108"/>
  <c r="E44" i="108" s="1"/>
  <c r="E45" i="108" s="1"/>
  <c r="F8" i="4"/>
  <c r="F10" i="4" s="1"/>
  <c r="B4125" i="106" s="1"/>
  <c r="D4125"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K17" i="4"/>
  <c r="K368" i="29"/>
  <c r="B3681" i="106" s="1"/>
  <c r="D3681" i="106" s="1"/>
  <c r="D8" i="4"/>
  <c r="H10" i="4"/>
  <c r="B4127" i="106" s="1"/>
  <c r="D4127" i="106" s="1"/>
  <c r="B2658" i="106"/>
  <c r="D2658" i="106" s="1"/>
  <c r="B2595" i="106"/>
  <c r="D259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<sst xmlns="http://schemas.openxmlformats.org/spreadsheetml/2006/main" count="5063" uniqueCount="2132">
  <si>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</si>
  <si>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</si>
  <si>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</si>
  <si>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</si>
  <si>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</si>
  <si>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</si>
  <si>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</si>
  <si>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</si>
  <si>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</si>
  <si>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</si>
  <si>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</si>
  <si>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</si>
  <si>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</si>
  <si>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</si>
  <si>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</si>
  <si>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</si>
  <si>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</si>
  <si>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</si>
  <si>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</si>
  <si>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</si>
  <si>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</si>
  <si>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</si>
  <si>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</si>
  <si>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</si>
  <si>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</si>
  <si>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</si>
  <si>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</si>
  <si>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</si>
  <si>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</si>
  <si>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</si>
  <si>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</si>
  <si>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</si>
  <si>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</si>
  <si>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</si>
  <si>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</si>
  <si>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</si>
  <si>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</si>
  <si>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</si>
  <si>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</si>
  <si>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</si>
  <si>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</si>
  <si>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</si>
  <si>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</si>
  <si>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</si>
  <si>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</si>
  <si>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</si>
  <si>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</si>
  <si>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</si>
  <si>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</si>
  <si>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</si>
  <si>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</si>
  <si>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</si>
  <si>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</si>
  <si>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</si>
  <si>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</si>
  <si>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</si>
  <si>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</si>
  <si>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</si>
  <si>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</si>
  <si>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</si>
  <si>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</si>
  <si>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</si>
  <si>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</si>
  <si>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</si>
  <si>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</si>
  <si>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</si>
  <si>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</si>
  <si>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</si>
  <si>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</si>
  <si>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</si>
  <si>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</si>
  <si>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</si>
  <si>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</si>
  <si>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</si>
  <si>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</si>
  <si>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</si>
  <si>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</si>
  <si>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</si>
  <si>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</si>
  <si>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</si>
  <si>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</si>
  <si>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</si>
  <si>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</si>
  <si>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</si>
  <si>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</si>
  <si>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</si>
  <si>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</si>
  <si>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</si>
  <si>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</si>
  <si>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</si>
  <si>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</si>
  <si>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</si>
  <si>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</si>
  <si>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</si>
  <si>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</si>
  <si>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</si>
  <si>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</si>
  <si>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</si>
  <si>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</si>
  <si>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</si>
  <si>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</si>
  <si>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</si>
  <si>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</si>
  <si>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</si>
  <si>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</si>
  <si>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</si>
  <si>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</si>
  <si>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</si>
  <si>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</si>
  <si>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</si>
  <si>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</si>
  <si>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</si>
  <si>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</si>
  <si>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</si>
  <si>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</si>
  <si>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</si>
  <si>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</si>
  <si>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</si>
  <si>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</si>
  <si>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</si>
  <si>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</si>
  <si>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</si>
  <si>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</si>
  <si>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</si>
  <si>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</si>
  <si>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</si>
  <si>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</si>
  <si>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</si>
  <si>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</si>
  <si>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</si>
  <si>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</si>
  <si>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</si>
  <si>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</si>
  <si>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</si>
  <si>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</si>
  <si>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</si>
  <si>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</si>
  <si>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</si>
  <si>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</si>
  <si>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</si>
  <si>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</si>
  <si>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</si>
  <si>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</si>
  <si>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</si>
  <si>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</si>
  <si>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</si>
  <si>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</si>
  <si>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</si>
  <si>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</si>
  <si>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</si>
  <si>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</si>
  <si>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</si>
  <si>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</si>
  <si>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</si>
  <si>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</si>
  <si>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</si>
  <si>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</si>
  <si>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</si>
  <si>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</si>
  <si>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</si>
  <si>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</si>
  <si>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</si>
  <si>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</si>
  <si>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</si>
  <si>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</si>
  <si>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</si>
  <si>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</si>
  <si>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</si>
  <si>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</si>
  <si>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</si>
  <si>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</si>
  <si>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</si>
  <si>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</si>
  <si>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</si>
  <si>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</si>
  <si>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</si>
  <si>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</si>
  <si>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</si>
  <si>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</si>
  <si>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</si>
  <si>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</si>
  <si>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</si>
  <si>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</si>
  <si>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</si>
  <si>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</si>
  <si>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</si>
  <si>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</si>
  <si>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</si>
  <si>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</si>
  <si>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</si>
  <si>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</si>
  <si>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</si>
  <si>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</si>
  <si>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</si>
  <si>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</si>
  <si>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</si>
  <si>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</si>
  <si>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</si>
  <si>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</si>
  <si>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</si>
  <si>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</si>
  <si>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</si>
  <si>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</si>
  <si>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</si>
  <si>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</si>
  <si>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</si>
  <si>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</si>
  <si>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</si>
  <si>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</si>
  <si>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</si>
  <si>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</si>
  <si>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</si>
  <si>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</si>
  <si>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</si>
  <si>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</si>
  <si>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</si>
  <si>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</si>
  <si>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</si>
  <si>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</si>
  <si>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</si>
  <si>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</si>
  <si>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</si>
  <si>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</si>
  <si>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</si>
  <si>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</si>
  <si>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</si>
  <si>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</si>
  <si>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</si>
  <si>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</si>
  <si>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</si>
  <si>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</si>
  <si>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</si>
  <si>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</si>
  <si>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</si>
  <si>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</si>
  <si>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</si>
  <si>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</si>
  <si>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</si>
  <si>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</si>
  <si>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</si>
  <si>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</si>
  <si>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</si>
  <si>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</si>
  <si>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</si>
  <si>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</si>
  <si>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</si>
  <si>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</si>
  <si>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</si>
  <si>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</si>
  <si>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</si>
  <si>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</si>
  <si>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</si>
  <si>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</si>
  <si>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</si>
  <si>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</si>
  <si>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</si>
  <si>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</si>
  <si>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</si>
  <si>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</si>
  <si>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</si>
  <si>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</si>
  <si>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</si>
  <si>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</si>
  <si>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</si>
  <si>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</si>
  <si>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</si>
  <si>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</si>
  <si>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</si>
  <si>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</si>
  <si>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</si>
  <si>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</si>
  <si>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</si>
  <si>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</si>
  <si>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</si>
  <si>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</si>
  <si>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</si>
  <si>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</si>
  <si>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</si>
  <si>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</si>
  <si>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</si>
  <si>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</si>
  <si>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</si>
  <si>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</si>
  <si>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</si>
  <si>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</si>
  <si>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</si>
  <si>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</si>
  <si>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</si>
  <si>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</si>
  <si>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</si>
  <si>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</si>
  <si>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</si>
  <si>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</si>
  <si>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</si>
  <si>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</si>
  <si>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</si>
  <si>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</si>
  <si>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</si>
  <si>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</si>
  <si>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</si>
  <si>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</si>
  <si>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</si>
  <si>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</si>
  <si>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</si>
  <si>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</si>
  <si>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</si>
  <si>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</si>
  <si>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</si>
  <si>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</si>
  <si>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</si>
  <si>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</si>
  <si>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</si>
  <si>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</si>
  <si>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</si>
  <si>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</si>
  <si>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</si>
  <si>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</si>
  <si>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</si>
  <si>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</si>
  <si>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</si>
  <si>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</si>
  <si>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</si>
  <si>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</si>
  <si>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</si>
  <si>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</si>
  <si>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</si>
  <si>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</si>
  <si>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</si>
  <si>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</si>
  <si>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</si>
  <si>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</si>
  <si>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</si>
  <si>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</si>
  <si>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</si>
  <si>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</si>
  <si>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</si>
  <si>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</si>
  <si>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</si>
  <si>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</si>
  <si>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</si>
  <si>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</si>
  <si>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</si>
  <si>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</si>
  <si>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</si>
  <si>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</si>
  <si>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</si>
  <si>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</si>
  <si>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</si>
  <si>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</si>
  <si>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</si>
  <si>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</si>
  <si>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</si>
  <si>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</si>
  <si>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</si>
  <si>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</si>
  <si>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</si>
  <si>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</si>
  <si>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</si>
  <si>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</si>
  <si>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</si>
  <si>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</si>
  <si>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</si>
  <si>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</si>
  <si>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</si>
  <si>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</si>
  <si>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</si>
  <si>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</si>
  <si>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</si>
  <si>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</si>
  <si>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</si>
  <si>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</si>
  <si>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</si>
  <si>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</si>
  <si>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</si>
  <si>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</si>
  <si>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</si>
  <si>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</si>
  <si>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</si>
  <si>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</si>
  <si>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</si>
  <si>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</si>
  <si>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</si>
  <si>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</si>
  <si>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</si>
  <si>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</si>
  <si>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</si>
  <si>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</si>
  <si>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</si>
  <si>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</si>
  <si>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</si>
  <si>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</si>
  <si>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</si>
  <si>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</si>
  <si>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</si>
  <si>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</si>
  <si>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</si>
  <si>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</si>
  <si>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</si>
  <si>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</si>
  <si>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</si>
  <si>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</si>
  <si>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</si>
  <si>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</si>
  <si>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</si>
  <si>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</si>
  <si>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</si>
  <si>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</si>
  <si>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</si>
  <si>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</si>
  <si>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</si>
  <si>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</si>
  <si>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</si>
  <si>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</si>
  <si>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</si>
  <si>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</si>
  <si>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</si>
  <si>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</si>
  <si>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</si>
  <si>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</si>
  <si>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</si>
  <si>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</si>
  <si>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</si>
  <si>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</si>
  <si>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</si>
  <si>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</si>
  <si>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</si>
  <si>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</si>
  <si>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</si>
  <si>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</si>
  <si>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</si>
  <si>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</si>
  <si>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</si>
  <si>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</si>
  <si>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</si>
  <si>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</si>
  <si>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</si>
  <si>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</si>
  <si>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</si>
  <si>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</si>
  <si>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</si>
  <si>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</si>
  <si>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</si>
  <si>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</si>
  <si>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</si>
  <si>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</si>
  <si>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</si>
  <si>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</si>
  <si>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</si>
  <si>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</si>
  <si>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</si>
  <si>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</si>
  <si>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</si>
  <si>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</si>
  <si>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</si>
  <si>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</si>
  <si>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</si>
  <si>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</si>
  <si>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</si>
  <si>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</si>
  <si>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</si>
  <si>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</si>
  <si>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</si>
  <si>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</si>
  <si>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</si>
  <si>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</si>
  <si>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</si>
  <si>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</si>
  <si>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</si>
  <si>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</si>
  <si>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</si>
  <si>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</si>
  <si>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</si>
  <si>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</si>
  <si>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</si>
  <si>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</si>
  <si>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</si>
  <si>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</si>
  <si>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</si>
  <si>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</si>
  <si>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</si>
  <si>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</si>
  <si>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</si>
  <si>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</si>
  <si>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</si>
  <si>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</si>
  <si>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</si>
  <si>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</si>
  <si>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</si>
  <si>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</si>
  <si>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</si>
  <si>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</si>
  <si>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</si>
  <si>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</si>
  <si>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</si>
  <si>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</si>
  <si>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</si>
  <si>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</si>
  <si>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</si>
  <si>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</si>
  <si>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</si>
  <si>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</si>
  <si>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</si>
  <si>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</si>
  <si>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</si>
  <si>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</si>
  <si>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</si>
  <si>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</si>
  <si>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</si>
  <si>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</si>
  <si>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</si>
  <si>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</si>
  <si>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</si>
  <si>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</si>
  <si>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</si>
  <si>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</si>
  <si>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</si>
  <si>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</si>
  <si>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</si>
  <si>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</si>
  <si>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</si>
  <si>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</si>
  <si>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</si>
  <si>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</si>
  <si>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</si>
  <si>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</si>
  <si>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</si>
  <si>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</si>
  <si>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</si>
  <si>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</si>
  <si>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</si>
  <si>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</si>
  <si>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</si>
  <si>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</si>
  <si>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</si>
  <si>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</si>
  <si>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</si>
  <si>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</si>
  <si>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</si>
  <si>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</si>
  <si>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</si>
  <si>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</si>
  <si>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</si>
  <si>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</si>
  <si>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</si>
  <si>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</si>
  <si>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</si>
  <si>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</si>
  <si>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</si>
  <si>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</si>
  <si>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</si>
  <si>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</si>
  <si>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</si>
  <si>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</si>
  <si>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</si>
  <si>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</si>
  <si>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</si>
  <si>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</si>
  <si>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</si>
  <si>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</si>
  <si>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</si>
  <si>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</si>
  <si>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</si>
  <si>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</si>
  <si>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</si>
  <si>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</si>
  <si>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</si>
  <si>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</si>
  <si>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</si>
  <si>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</si>
  <si>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</si>
  <si>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</si>
  <si>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</si>
  <si>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</si>
  <si>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</si>
  <si>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</si>
  <si>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</si>
  <si>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</si>
  <si>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</si>
  <si>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</si>
  <si>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</si>
  <si>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</si>
  <si>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</si>
  <si>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</si>
  <si>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</si>
  <si>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</si>
  <si>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</si>
  <si>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</si>
  <si>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</si>
  <si>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</si>
  <si>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</si>
  <si>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</si>
  <si>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</si>
  <si>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</si>
  <si>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</si>
  <si>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</si>
  <si>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</si>
  <si>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</si>
  <si>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</si>
  <si>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</si>
  <si>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</si>
  <si>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</si>
  <si>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</si>
  <si>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</si>
  <si>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</si>
  <si>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</si>
  <si>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</si>
  <si>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</si>
  <si>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</si>
  <si>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</si>
  <si>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</si>
  <si>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</si>
  <si>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</si>
  <si>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</si>
  <si>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</si>
  <si>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</si>
  <si>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</si>
  <si>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</si>
  <si>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</si>
  <si>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</si>
  <si>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</si>
  <si>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</si>
  <si>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</si>
  <si>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</si>
  <si>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</si>
  <si>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</si>
  <si>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</si>
  <si>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</si>
  <si>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</si>
  <si>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</si>
  <si>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</si>
  <si>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</si>
  <si>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</si>
  <si>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</si>
  <si>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</si>
  <si>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</si>
  <si>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</si>
  <si>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</si>
  <si>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</si>
  <si>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</si>
  <si>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</si>
  <si>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</si>
  <si>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</si>
  <si>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</si>
  <si>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</si>
  <si>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</si>
  <si>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</si>
  <si>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</si>
  <si>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</si>
  <si>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</si>
  <si>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</si>
  <si>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</si>
  <si>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</si>
  <si>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</si>
  <si>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</si>
  <si>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</si>
  <si>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</si>
  <si>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</si>
  <si>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</si>
  <si>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</si>
  <si>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</si>
  <si>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</si>
  <si>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</si>
  <si>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</si>
  <si>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</si>
  <si>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</si>
  <si>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</si>
  <si>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</si>
  <si>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</si>
  <si>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</si>
  <si>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</si>
  <si>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</si>
  <si>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</si>
  <si>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</si>
  <si>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</si>
  <si>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</si>
  <si>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</si>
  <si>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</si>
  <si>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</si>
  <si>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</si>
  <si>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</si>
  <si>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</si>
  <si>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</si>
  <si>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</si>
  <si>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</si>
  <si>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</si>
  <si>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</si>
  <si>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</si>
  <si>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</si>
  <si>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</si>
  <si>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</si>
  <si>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</si>
  <si>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</si>
  <si>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</si>
  <si>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</si>
  <si>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</si>
  <si>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</si>
  <si>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</si>
  <si>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</si>
  <si>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</si>
  <si>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</si>
  <si>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</si>
  <si>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</si>
  <si>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</si>
  <si>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</si>
  <si>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</si>
  <si>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</si>
  <si>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</si>
  <si>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</si>
  <si>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</si>
  <si>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</si>
  <si>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</si>
  <si>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</si>
  <si>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</si>
  <si>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</si>
  <si>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</si>
  <si>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</si>
  <si>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</si>
  <si>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</si>
  <si>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</si>
  <si>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</si>
  <si>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</si>
  <si>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</si>
  <si>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</si>
  <si>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</si>
  <si>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</si>
  <si>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</si>
  <si>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</si>
  <si>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</si>
  <si>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</si>
  <si>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</si>
  <si>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</si>
  <si>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</si>
  <si>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</si>
  <si>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</si>
  <si>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</si>
  <si>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</si>
  <si>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</si>
  <si>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</si>
  <si>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</si>
  <si>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</si>
  <si>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</si>
  <si>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</si>
  <si>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</si>
  <si>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</si>
  <si>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</si>
  <si>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</si>
  <si>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</si>
  <si>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</si>
  <si>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</si>
  <si>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</si>
  <si>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</si>
  <si>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</si>
  <si>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</si>
  <si>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</si>
  <si>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</si>
  <si>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</si>
  <si>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</si>
  <si>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</si>
  <si>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</si>
  <si>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</si>
  <si>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</si>
  <si>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</si>
  <si>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</si>
  <si>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</si>
  <si>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</si>
  <si>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</si>
  <si>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</si>
  <si>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</si>
  <si>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</si>
  <si>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</si>
  <si>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</si>
  <si>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</si>
  <si>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</si>
  <si>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</si>
  <si>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</si>
  <si>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</si>
  <si>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</si>
  <si>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</si>
  <si>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</si>
  <si>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</si>
  <si>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</si>
  <si>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</si>
  <si>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</si>
  <si>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</si>
  <si>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</si>
  <si>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</si>
  <si>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</si>
  <si>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</si>
  <si>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</si>
  <si>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</si>
  <si>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</si>
  <si>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</si>
  <si>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</si>
  <si>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</si>
  <si>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</si>
  <si>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</si>
  <si>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</si>
  <si>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</si>
  <si>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</si>
  <si>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</si>
  <si>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</si>
  <si>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</si>
  <si>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</si>
  <si>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</si>
  <si>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</si>
  <si>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</si>
  <si>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</si>
  <si>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</si>
  <si>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</si>
  <si>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</si>
  <si>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</si>
  <si>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</si>
  <si>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</si>
  <si>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</si>
  <si>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</si>
  <si>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</si>
  <si>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</si>
  <si>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</si>
  <si>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</si>
  <si>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</si>
  <si>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</si>
  <si>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</si>
  <si>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</si>
  <si>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</si>
  <si>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</si>
  <si>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</si>
  <si>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</si>
  <si>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</si>
  <si>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</si>
  <si>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</si>
  <si>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</si>
  <si>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</si>
  <si>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</si>
  <si>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</si>
  <si>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</si>
  <si>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</si>
  <si>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</si>
  <si>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</si>
  <si>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</si>
  <si>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</si>
  <si>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</si>
  <si>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</si>
  <si>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</si>
  <si>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</si>
  <si>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</si>
  <si>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</si>
  <si>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</si>
  <si>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</si>
  <si>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</si>
  <si>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</si>
  <si>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</si>
  <si>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</si>
  <si>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</si>
  <si>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</si>
  <si>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</si>
  <si>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</si>
  <si>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</si>
  <si>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</si>
  <si>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</si>
  <si>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</si>
  <si>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</si>
  <si>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</si>
  <si>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</si>
  <si>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</si>
  <si>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</si>
  <si>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</si>
  <si>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</si>
  <si>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</si>
  <si>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</si>
  <si>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</si>
  <si>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</si>
  <si>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</si>
  <si>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</si>
  <si>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</si>
  <si>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</si>
  <si>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</si>
  <si>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</si>
  <si>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</si>
  <si>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</si>
  <si>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</si>
  <si>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</si>
  <si>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</si>
  <si>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</si>
  <si>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</si>
  <si>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</si>
  <si>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</si>
  <si>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</si>
  <si>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</si>
  <si>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</si>
  <si>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</si>
  <si>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</si>
  <si>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</si>
  <si>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</si>
  <si>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</si>
  <si>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</si>
  <si>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</si>
  <si>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</si>
  <si>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</si>
  <si>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</si>
  <si>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</si>
  <si>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</si>
  <si>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</si>
  <si>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</si>
  <si>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</si>
  <si>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</si>
  <si>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</si>
  <si>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</si>
  <si>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</si>
  <si>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</si>
  <si>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</si>
  <si>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</si>
  <si>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</si>
  <si>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</si>
  <si>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</si>
  <si>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</si>
  <si>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</si>
  <si>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</si>
  <si>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</si>
  <si>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</si>
  <si>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</si>
  <si>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</si>
  <si>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</si>
  <si>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</si>
  <si>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</si>
  <si>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</si>
  <si>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</si>
  <si>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</si>
  <si>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</si>
  <si>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</si>
  <si>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</si>
  <si>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</si>
  <si>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</si>
  <si>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</si>
  <si>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</si>
  <si>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</si>
  <si>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</si>
  <si>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</si>
  <si>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</si>
  <si>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</si>
  <si>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</si>
  <si>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</si>
  <si>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</si>
  <si>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</si>
  <si>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</si>
  <si>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</si>
  <si>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</si>
  <si>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</si>
  <si>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</si>
  <si>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</si>
  <si>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</si>
  <si>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</si>
  <si>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</si>
  <si>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</si>
  <si>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</si>
  <si>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</si>
  <si>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</si>
  <si>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</si>
  <si>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</si>
  <si>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</si>
  <si>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</si>
  <si>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</si>
  <si>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</si>
  <si>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</si>
  <si>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</si>
  <si>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</si>
  <si>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</si>
  <si>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</si>
  <si>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</si>
  <si>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</si>
  <si>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</si>
  <si>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</si>
  <si>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</si>
  <si>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</si>
  <si>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</si>
  <si>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</si>
  <si>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</si>
  <si>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</si>
  <si>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</si>
  <si>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</si>
  <si>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</si>
  <si>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</si>
  <si>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</si>
  <si>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</si>
  <si>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</si>
  <si>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</si>
  <si>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</si>
  <si>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</si>
  <si>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</si>
  <si>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</si>
  <si>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</si>
  <si>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</si>
  <si>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</si>
  <si>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</si>
  <si>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</si>
  <si>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</si>
  <si>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</si>
  <si>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</si>
  <si>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</si>
  <si>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</si>
  <si>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</si>
  <si>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</si>
  <si>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</si>
  <si>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</si>
  <si>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</si>
  <si>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</si>
  <si>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</si>
  <si>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</si>
  <si>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</si>
  <si>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</si>
  <si>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</si>
  <si>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</si>
  <si>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</si>
  <si>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</si>
  <si>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</si>
  <si>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</si>
  <si>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</si>
  <si>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</si>
  <si>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</si>
  <si>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</si>
  <si>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</si>
  <si>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</si>
  <si>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</si>
  <si>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</si>
  <si>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</si>
  <si>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</si>
  <si>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</si>
  <si>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</si>
  <si>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</si>
  <si>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</si>
  <si>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</si>
  <si>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</si>
  <si>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</si>
  <si>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</si>
  <si>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</si>
  <si>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</si>
  <si>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</si>
  <si>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</si>
  <si>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</si>
  <si>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</si>
  <si>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</si>
  <si>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</si>
  <si>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</si>
  <si>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</si>
  <si>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</si>
  <si>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</si>
  <si>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</si>
  <si>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</si>
  <si>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</si>
  <si>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</si>
  <si>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</si>
  <si>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</si>
  <si>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</si>
  <si>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</si>
  <si>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</si>
  <si>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</si>
  <si>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</si>
  <si>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</si>
  <si>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</si>
  <si>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</si>
  <si>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</si>
  <si>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</si>
  <si>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</si>
  <si>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</si>
  <si>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</si>
  <si>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</si>
  <si>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</si>
  <si>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</si>
  <si>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</si>
  <si>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</si>
  <si>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</si>
  <si>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</si>
  <si>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</si>
  <si>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</si>
  <si>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</si>
  <si>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</si>
  <si>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</si>
  <si>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</si>
  <si>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</si>
  <si>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</si>
  <si>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</si>
  <si>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</si>
  <si>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</si>
  <si>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</si>
  <si>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</si>
  <si>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</si>
  <si>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</si>
  <si>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</si>
  <si>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</si>
  <si>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</si>
  <si>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</si>
  <si>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</si>
  <si>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</si>
  <si>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</si>
  <si>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</si>
  <si>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</si>
  <si>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</si>
  <si>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</si>
  <si>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</si>
  <si>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</si>
  <si>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</si>
  <si>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</si>
  <si>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</si>
  <si>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</si>
  <si>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</si>
  <si>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</si>
  <si>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</si>
  <si>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</si>
  <si>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</si>
  <si>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</si>
  <si>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</si>
  <si>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</si>
  <si>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</si>
  <si>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</si>
  <si>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</si>
  <si>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</si>
  <si>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</si>
  <si>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</si>
  <si>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</si>
  <si>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</si>
  <si>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</si>
  <si>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</si>
  <si>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</si>
  <si>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</si>
  <si>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</si>
  <si>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</si>
  <si>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</si>
  <si>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</si>
  <si>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</si>
  <si>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</si>
  <si>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</si>
  <si>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</si>
  <si>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</si>
  <si>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</si>
  <si>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</si>
  <si>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</si>
  <si>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</si>
  <si>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</si>
  <si>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</si>
  <si>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</si>
  <si>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</si>
  <si>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</si>
  <si>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</si>
  <si>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</si>
  <si>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</si>
  <si>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</si>
  <si>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</si>
  <si>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</si>
  <si>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</si>
  <si>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</si>
  <si>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</si>
  <si>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</si>
  <si>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</si>
  <si>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</si>
  <si>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</si>
  <si>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</si>
  <si>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</si>
  <si>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</si>
  <si>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</si>
  <si>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</si>
  <si>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</si>
  <si>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</si>
  <si>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</si>
  <si>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</si>
  <si>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</si>
  <si>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</si>
  <si>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</si>
  <si>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</si>
  <si>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</si>
  <si>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</si>
  <si>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</si>
  <si>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</si>
  <si>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</si>
  <si>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</si>
  <si>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</si>
  <si>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</si>
  <si>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</si>
  <si>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</si>
  <si>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</si>
  <si>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</si>
  <si>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</si>
  <si>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</si>
  <si>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</si>
  <si>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</si>
  <si>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</si>
  <si>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</si>
  <si>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</si>
  <si>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</si>
  <si>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</si>
  <si>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</si>
  <si>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</si>
  <si>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</si>
  <si>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</si>
  <si>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</si>
  <si>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</si>
  <si>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</si>
  <si>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</si>
  <si>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</si>
  <si>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</si>
  <si>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</si>
  <si>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</si>
  <si>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</si>
  <si>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</si>
  <si>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</si>
  <si>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</si>
  <si>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</si>
  <si>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</si>
  <si>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</si>
  <si>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</si>
  <si>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</si>
  <si>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</si>
  <si>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</si>
  <si>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</si>
  <si>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</si>
  <si>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</si>
  <si>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</si>
  <si>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</si>
  <si>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</si>
  <si>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</si>
  <si>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</si>
  <si>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</si>
  <si>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</si>
  <si>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</si>
  <si>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</si>
  <si>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</si>
  <si>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</si>
  <si>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</si>
  <si>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</si>
  <si>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</si>
  <si>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</si>
  <si>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</si>
  <si>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</si>
  <si>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</si>
  <si>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</si>
  <si>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</si>
  <si>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</si>
  <si>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</si>
  <si>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</si>
  <si>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</si>
  <si>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</si>
  <si>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</si>
  <si>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</si>
  <si>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</si>
  <si>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</si>
  <si>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</si>
  <si>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</si>
  <si>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</si>
  <si>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</si>
  <si>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</si>
  <si>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</si>
  <si>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</si>
  <si>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</si>
  <si>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</si>
  <si>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</si>
  <si>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</si>
  <si>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</si>
  <si>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</si>
  <si>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</si>
  <si>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</si>
  <si>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</si>
  <si>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</si>
  <si>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</si>
  <si>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</si>
  <si>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</si>
  <si>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</si>
  <si>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</si>
  <si>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</si>
  <si>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</si>
  <si>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</si>
  <si>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</si>
  <si>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</si>
  <si>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</si>
  <si>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</si>
  <si>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</si>
  <si>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</si>
  <si>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</si>
  <si>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</si>
  <si>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</si>
  <si>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</si>
  <si>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</si>
  <si>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</si>
  <si>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</si>
  <si>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</si>
  <si>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</si>
  <si>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</si>
  <si>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</si>
  <si>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</si>
  <si>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</si>
  <si>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</si>
  <si>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</si>
  <si>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</si>
  <si>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</si>
  <si>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</si>
  <si>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</si>
  <si>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</si>
  <si>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</si>
  <si>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</si>
  <si>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</si>
  <si>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</si>
  <si>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</si>
  <si>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</si>
  <si>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</si>
  <si>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</si>
  <si>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</si>
  <si>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</si>
  <si>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</si>
  <si>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</si>
  <si>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</si>
  <si>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</si>
  <si>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</si>
  <si>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</si>
  <si>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</si>
  <si>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</si>
  <si>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</si>
  <si>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</si>
  <si>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</si>
  <si>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</si>
  <si>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</si>
  <si>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</si>
  <si>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</si>
  <si>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</si>
  <si>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</si>
  <si>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</si>
  <si>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</si>
  <si>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</si>
  <si>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</si>
  <si>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</si>
  <si>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</si>
  <si>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</si>
  <si>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</si>
  <si>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</si>
  <si>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</si>
  <si>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</si>
  <si>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</si>
  <si>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</si>
  <si>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</si>
  <si>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</si>
  <si>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</si>
  <si>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</si>
  <si>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</si>
  <si>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</si>
  <si>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</si>
  <si>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</si>
  <si>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</si>
  <si>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</si>
  <si>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</si>
  <si>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</si>
  <si>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</si>
  <si>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</si>
  <si>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</si>
  <si>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</si>
  <si>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</si>
  <si>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</si>
  <si>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</si>
  <si>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</si>
  <si>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</si>
  <si>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</si>
  <si>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</si>
  <si>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</si>
  <si>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</si>
  <si>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</si>
  <si>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</si>
  <si>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</si>
  <si>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</si>
  <si>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</si>
  <si>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</si>
  <si>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</si>
  <si>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</si>
  <si>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</si>
  <si>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</si>
  <si>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</si>
  <si>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</si>
  <si>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</si>
  <si>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</si>
  <si>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</si>
  <si>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</si>
  <si>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</si>
  <si>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</si>
  <si>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</si>
  <si>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</si>
  <si>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</si>
  <si>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</si>
  <si>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</si>
  <si>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</si>
  <si>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</si>
  <si>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</si>
  <si>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</si>
  <si>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</si>
  <si>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</si>
  <si>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</si>
  <si>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</si>
  <si>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</si>
  <si>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</si>
  <si>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</si>
  <si>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</si>
  <si>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</si>
  <si>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</si>
  <si>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</si>
  <si>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</si>
  <si>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</si>
  <si>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</si>
  <si>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</si>
  <si>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</si>
  <si>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</si>
  <si>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</si>
  <si>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</si>
  <si>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</si>
  <si>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</si>
  <si>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</si>
  <si>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</si>
  <si>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</si>
  <si>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</si>
  <si>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</si>
  <si>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</si>
  <si>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</si>
  <si>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</si>
  <si>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</si>
  <si>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</si>
  <si>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</si>
  <si>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</si>
  <si>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</si>
  <si>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</si>
  <si>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</si>
  <si>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</si>
  <si>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</si>
  <si>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</si>
  <si>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</si>
  <si>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</si>
  <si>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</si>
  <si>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</si>
  <si>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</si>
  <si>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</si>
  <si>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</si>
  <si>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</si>
  <si>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</si>
  <si>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</si>
  <si>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</si>
  <si>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</si>
  <si>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</si>
  <si>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</si>
  <si>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</si>
  <si>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</si>
  <si>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</si>
  <si>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</si>
  <si>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</si>
  <si>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</si>
  <si>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</si>
  <si>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</si>
  <si>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</si>
  <si>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</si>
  <si>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</si>
  <si>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</si>
  <si>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</si>
  <si>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</si>
  <si>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</si>
  <si>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</si>
  <si>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</si>
  <si>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</si>
  <si>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</si>
  <si>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</si>
  <si>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</si>
  <si>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</si>
  <si>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</si>
  <si>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</si>
  <si>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</si>
  <si>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</si>
  <si>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</si>
  <si>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</si>
  <si>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</si>
  <si>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</si>
  <si>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</si>
  <si>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</si>
  <si>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</si>
  <si>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</si>
  <si>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</si>
  <si>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</si>
  <si>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</si>
  <si>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</si>
  <si>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</si>
  <si>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</si>
  <si>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</si>
  <si>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</si>
  <si>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</si>
  <si>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</si>
  <si>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</si>
  <si>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</si>
  <si>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</si>
  <si>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</si>
  <si>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</si>
  <si>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</si>
  <si>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</si>
  <si>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</si>
  <si>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</si>
  <si>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</si>
  <si>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</si>
  <si>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</si>
  <si>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</si>
  <si>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</si>
  <si>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</si>
  <si>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</si>
  <si>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</si>
  <si>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</si>
  <si>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</si>
  <si>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</si>
  <si>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</si>
  <si>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</si>
  <si>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</si>
  <si>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</si>
  <si>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</si>
  <si>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</si>
  <si>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</si>
  <si>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</si>
  <si>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</si>
  <si>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</si>
  <si>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</si>
  <si>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</si>
  <si>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</si>
  <si>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</si>
  <si>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</si>
  <si>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</si>
  <si>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</si>
  <si>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</si>
  <si>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</si>
  <si>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</si>
  <si>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</si>
  <si>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</si>
  <si>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</si>
  <si>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</si>
  <si>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</si>
  <si>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</si>
  <si>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</si>
  <si>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</si>
  <si>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</si>
  <si>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</si>
  <si>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</si>
  <si>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</si>
  <si>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</si>
  <si>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</si>
  <si>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</si>
  <si>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</si>
  <si>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</si>
  <si>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</si>
  <si>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</si>
  <si>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</si>
  <si>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</si>
  <si>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</si>
  <si>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</si>
  <si>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</si>
  <si>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</si>
  <si>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</si>
  <si>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</si>
  <si>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</si>
  <si>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</si>
  <si>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</si>
  <si>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</si>
  <si>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</si>
  <si>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</si>
  <si>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</si>
  <si>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</si>
  <si>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</si>
  <si>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</si>
  <si>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</si>
  <si>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</si>
  <si>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</si>
  <si>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</si>
  <si>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</si>
  <si>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</si>
  <si>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</si>
  <si>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</si>
  <si>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</si>
  <si>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</si>
  <si>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</si>
  <si>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</si>
  <si>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</si>
  <si>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</si>
  <si>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</si>
  <si>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</si>
  <si>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</si>
  <si>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</si>
  <si>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</si>
  <si>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</si>
  <si>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</si>
  <si>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</si>
  <si>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</si>
  <si>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</si>
  <si>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</si>
  <si>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</si>
  <si>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</si>
  <si>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</si>
  <si>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</si>
  <si>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</si>
  <si>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</si>
  <si>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</si>
  <si>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</si>
  <si>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</si>
  <si>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</si>
  <si>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</si>
  <si>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</si>
  <si>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</si>
  <si>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</si>
  <si>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</si>
  <si>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</si>
  <si>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</si>
  <si>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</si>
  <si>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</si>
  <si>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</si>
  <si>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</si>
  <si>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</si>
  <si>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</si>
  <si>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</si>
  <si>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</si>
  <si>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</si>
  <si>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</si>
  <si>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</si>
  <si>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</si>
  <si>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</si>
  <si>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</si>
  <si>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</si>
  <si>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</si>
  <si>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</si>
  <si>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</si>
  <si>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</si>
  <si>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</si>
  <si>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</si>
  <si>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</si>
  <si>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</si>
  <si>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</si>
  <si>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</si>
  <si>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</si>
  <si>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</si>
  <si>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</si>
  <si>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</si>
  <si>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</si>
  <si>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</si>
  <si>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</si>
  <si>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</si>
  <si>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</si>
  <si>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</si>
  <si>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</si>
  <si>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</si>
  <si>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</si>
  <si>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</si>
  <si>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</si>
  <si>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</si>
  <si>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</si>
  <si>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</si>
  <si>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</si>
  <si>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</si>
  <si>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</si>
  <si>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</si>
  <si>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</si>
  <si>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</si>
  <si>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</si>
  <si>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</si>
  <si>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</si>
  <si>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</si>
  <si>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</si>
  <si>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</si>
  <si>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</si>
  <si>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</si>
  <si>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</si>
  <si>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</si>
  <si>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</si>
  <si>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</si>
  <si>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</si>
  <si>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</si>
  <si>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</si>
  <si>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</si>
  <si>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</si>
  <si>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</si>
  <si>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</si>
  <si>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</si>
  <si>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</si>
  <si>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</si>
  <si>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</si>
  <si>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</si>
  <si>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</si>
  <si>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</si>
  <si>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</si>
  <si>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</si>
  <si>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</si>
  <si>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</si>
  <si>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</si>
  <si>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</si>
  <si>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</si>
  <si>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</si>
  <si>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</si>
  <si>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</si>
  <si>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</si>
  <si>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</si>
  <si>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</si>
  <si>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</si>
  <si>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</si>
  <si>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</si>
  <si>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</si>
  <si>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</si>
  <si>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</si>
  <si>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</si>
  <si>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</si>
  <si>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</si>
  <si>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</si>
  <si>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</si>
  <si>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</si>
  <si>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</si>
  <si>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</si>
  <si>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</si>
  <si>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</si>
  <si>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</si>
  <si>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</si>
  <si>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</si>
  <si>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</si>
  <si>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</si>
  <si>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</si>
  <si>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</si>
  <si>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</si>
  <si>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</si>
  <si>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</si>
  <si>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</si>
  <si>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</si>
  <si>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</si>
  <si>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</si>
  <si>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</si>
  <si>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</si>
  <si>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</si>
  <si>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</si>
  <si>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</si>
  <si>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</si>
  <si>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</si>
  <si>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</si>
  <si>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</si>
  <si>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</si>
  <si>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</si>
  <si>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</si>
  <si>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</si>
  <si>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</si>
  <si>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</si>
  <si>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</si>
  <si>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</si>
  <si>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</si>
  <si>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</si>
  <si>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</si>
  <si>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</si>
  <si>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</si>
  <si>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</si>
  <si>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</si>
  <si>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</si>
  <si>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</si>
  <si>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</si>
  <si>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</si>
  <si>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</si>
  <si>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</si>
  <si>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</si>
  <si>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</si>
  <si>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</si>
  <si>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</si>
  <si>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</si>
  <si>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</si>
  <si>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</si>
  <si>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</si>
  <si>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</si>
  <si>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</si>
  <si>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</si>
  <si>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</si>
  <si>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</si>
  <si>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</si>
  <si>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</si>
  <si>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</si>
  <si>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</si>
  <si>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</si>
  <si>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</si>
  <si>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</si>
  <si>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</si>
  <si>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</si>
  <si>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</si>
  <si>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</si>
  <si>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</si>
  <si>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</si>
  <si>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</si>
  <si>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</si>
  <si>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</si>
  <si>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</si>
  <si>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</si>
  <si>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</si>
  <si>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</si>
  <si>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</si>
  <si>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</si>
  <si>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</si>
  <si>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</si>
  <si>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</si>
  <si>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</si>
  <si>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</si>
  <si>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</si>
  <si>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</si>
  <si>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</si>
  <si>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</si>
  <si>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</si>
  <si>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</si>
  <si>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</si>
  <si>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</si>
  <si>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</si>
  <si>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</si>
  <si>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</si>
  <si>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</si>
  <si>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</si>
  <si>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</si>
  <si>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</si>
  <si>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</si>
  <si>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</si>
  <si>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</si>
  <si>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</si>
  <si>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</si>
  <si>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</si>
  <si>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</si>
  <si>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</si>
  <si>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</si>
  <si>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</si>
  <si>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</si>
  <si>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</si>
  <si>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</si>
  <si>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</si>
  <si>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</si>
  <si>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</si>
  <si>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</si>
  <si>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</si>
  <si>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</si>
  <si>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</si>
  <si>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</si>
  <si>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</si>
  <si>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</si>
  <si>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</si>
  <si>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</si>
  <si>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</si>
  <si>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</si>
  <si>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</si>
  <si>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</si>
  <si>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</si>
  <si>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</si>
  <si>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</si>
  <si>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</si>
  <si>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</si>
  <si>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</si>
  <si>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</si>
  <si>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</si>
  <si>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</si>
  <si>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</si>
  <si>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</si>
  <si>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</si>
  <si>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</si>
  <si>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</si>
  <si>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</si>
  <si>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</si>
  <si>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</si>
  <si>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</si>
  <si>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</si>
  <si>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</si>
  <si>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</si>
  <si>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</si>
  <si>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</si>
  <si>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</si>
  <si>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</si>
  <si>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</si>
  <si>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</si>
  <si>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</si>
  <si>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</si>
  <si>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</si>
  <si>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</si>
  <si>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</si>
  <si>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</si>
  <si>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</si>
  <si>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</si>
  <si>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</si>
  <si>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</si>
  <si>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</si>
  <si>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</si>
  <si>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</si>
  <si>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</si>
  <si>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</si>
  <si>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</si>
  <si>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</si>
  <si>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</si>
  <si>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</si>
  <si>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</si>
  <si>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</si>
  <si>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</si>
  <si>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</si>
  <si>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</si>
  <si>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</si>
  <si>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</si>
  <si>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</si>
  <si>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</si>
  <si>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</si>
  <si>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</si>
  <si>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</si>
  <si>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</si>
  <si>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</si>
  <si>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</si>
  <si>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</si>
  <si>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</si>
  <si>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</si>
  <si>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</si>
  <si>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</si>
  <si>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</si>
  <si>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</si>
  <si>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</si>
  <si>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</si>
  <si>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</si>
  <si>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</si>
  <si>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</si>
  <si>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</si>
  <si>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</si>
  <si>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</si>
  <si>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</si>
  <si>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</si>
  <si>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</si>
  <si>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</si>
  <si>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</si>
  <si>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</si>
  <si>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</si>
  <si>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</si>
  <si>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</si>
  <si>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</si>
  <si>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</si>
  <si>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</si>
  <si>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</si>
  <si>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</si>
  <si>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</si>
  <si>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</si>
  <si>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</si>
  <si>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</si>
  <si>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</si>
  <si>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</si>
  <si>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</si>
  <si>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</si>
  <si>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</si>
  <si>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</si>
  <si>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</si>
  <si>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</si>
  <si>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</si>
  <si>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</si>
  <si>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</si>
  <si>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</si>
  <si>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</si>
  <si>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</si>
  <si>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</si>
  <si>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</si>
  <si>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</si>
  <si>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</si>
  <si>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</si>
  <si>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</si>
  <si>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</si>
  <si>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</si>
  <si>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</si>
  <si>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</si>
  <si>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</si>
  <si>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</si>
  <si>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</si>
  <si>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</si>
  <si>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</si>
  <si>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</si>
  <si>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</si>
  <si>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</si>
  <si>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</si>
  <si>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</si>
  <si>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</si>
  <si>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</si>
  <si>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</si>
  <si>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</si>
  <si>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</si>
  <si>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</si>
  <si>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</si>
  <si>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</si>
  <si>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</si>
  <si>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</si>
  <si>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</si>
  <si>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</si>
  <si>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</si>
  <si>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</si>
  <si>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</si>
  <si>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</si>
  <si>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</si>
  <si>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</si>
  <si>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</si>
  <si>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</si>
  <si>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</si>
  <si>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</si>
  <si>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</si>
  <si>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</si>
  <si>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</si>
  <si>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</si>
  <si>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</si>
  <si>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</si>
  <si>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</si>
  <si>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</si>
  <si>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</si>
  <si>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</si>
  <si>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</si>
  <si>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</si>
  <si>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</si>
  <si>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</si>
  <si>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</si>
  <si>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</si>
  <si>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</si>
  <si>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</si>
  <si>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</si>
  <si>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</si>
  <si>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</si>
  <si>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</si>
  <si>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</si>
  <si>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</si>
  <si>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</si>
  <si>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</si>
  <si>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</si>
  <si>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</si>
  <si>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</si>
  <si>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</si>
  <si>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</si>
  <si>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</si>
  <si>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</si>
  <si>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</si>
  <si>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</si>
  <si>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</si>
  <si>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</si>
  <si>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</si>
  <si>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</si>
  <si>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</si>
  <si>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</si>
  <si>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</si>
  <si>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</si>
  <si>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</si>
  <si>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</si>
  <si>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</si>
  <si>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</si>
  <si>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</si>
  <si>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</si>
  <si>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</si>
  <si>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</si>
  <si>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</si>
  <si>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</si>
  <si>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</si>
  <si>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</si>
  <si>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</si>
  <si>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</si>
  <si>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</si>
  <si>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</si>
  <si>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</si>
  <si>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</si>
  <si>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</si>
  <si>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</si>
  <si>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</si>
  <si>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</si>
  <si>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</si>
  <si>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</si>
  <si>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</si>
  <si>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</si>
  <si>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</si>
  <si>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</si>
  <si>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</si>
  <si>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</si>
  <si>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</si>
  <si>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</si>
  <si>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</si>
  <si>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</si>
  <si>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</si>
  <si>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</si>
  <si>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</si>
  <si>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</si>
  <si>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</si>
  <si>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</si>
  <si>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</si>
  <si>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</si>
  <si>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</si>
  <si>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</si>
  <si>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</si>
  <si>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</si>
  <si>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</si>
  <si>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</si>
  <si>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</si>
  <si>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</si>
  <si>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</si>
  <si>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CHAMPAIGN</t>
  </si>
  <si>
    <t>RUSSELL LEIGH &amp; ASSOCIATES</t>
  </si>
  <si>
    <t>RUSS LEIGH</t>
  </si>
  <si>
    <t>228 E MAIN ST</t>
  </si>
  <si>
    <t>801 SOUTH 5TH STREET</t>
  </si>
  <si>
    <t>HOOPESTON</t>
  </si>
  <si>
    <t>IL</t>
  </si>
  <si>
    <t>FISHER</t>
  </si>
  <si>
    <t>217-283-9336</t>
  </si>
  <si>
    <t>217-283-9736</t>
  </si>
  <si>
    <t>065.018319</t>
  </si>
  <si>
    <t>admin@russleigh.com</t>
  </si>
  <si>
    <t>BARBARA THOMPSON</t>
  </si>
  <si>
    <t>barb.thompson@fisherk12.org</t>
  </si>
  <si>
    <t>217-897-1133</t>
  </si>
  <si>
    <t>General Obligation BAB School Bonds Series 2010</t>
  </si>
  <si>
    <t>General Obligation Refunding School Bonds - 2016B, ARS</t>
  </si>
  <si>
    <t>General Obligation Refunding School Bonds - 2016A</t>
  </si>
  <si>
    <t>General Obligation Working Cash Bond - 2016C</t>
  </si>
  <si>
    <t>None</t>
  </si>
  <si>
    <t>Rural Champaign County Special Education Coop</t>
  </si>
  <si>
    <t>Education for Employment System #330</t>
  </si>
  <si>
    <t>Page 2 - Part C - Other Issues</t>
  </si>
  <si>
    <t>#20 - District website does not include a District Report Card, has an outdated budget, and has outdated salary information</t>
  </si>
  <si>
    <t>Page 11 - Acct 1790 - Other District/School Activity Revenue</t>
  </si>
  <si>
    <t>Col 10 - Educational</t>
  </si>
  <si>
    <t>Miscellaneous Athletic Revenues - $98,667</t>
  </si>
  <si>
    <t>Col 10 - Educational, Col 20 - Operations &amp; Maintenance</t>
  </si>
  <si>
    <t>Refunds &amp; Reimbursements - $49,974</t>
  </si>
  <si>
    <t>Page 11 - Acct 1999 - Other District/School Activity Revenue</t>
  </si>
  <si>
    <t>Page 12 - Acct 3599 - Transportation Other</t>
  </si>
  <si>
    <t>Col 40 - Transportation</t>
  </si>
  <si>
    <t>Pre-K/At-Risk Students - $8,020</t>
  </si>
  <si>
    <t>State Library Grant - $750</t>
  </si>
  <si>
    <t>Page 12 - Acct 3999 - Other Restricted Revenue from State Sources</t>
  </si>
  <si>
    <t>Page 14 - Acct 4999 - Other Restricted Revenue from Federal Sources</t>
  </si>
  <si>
    <t>REAP Grant - $67,699</t>
  </si>
  <si>
    <t>Page 18 - Acct 5400 - Debt Services - Other</t>
  </si>
  <si>
    <t>Bond Fees - $1,542</t>
  </si>
  <si>
    <t>AUDITCHECK Tab</t>
  </si>
  <si>
    <t>#13 - Contracts Paid in Current Year</t>
  </si>
  <si>
    <t>No contracts greater than $25,000</t>
  </si>
  <si>
    <t>Page 24 - Short-Term Long-Term Debt</t>
  </si>
  <si>
    <t>Other differences in the 2010 bonds outstanding</t>
  </si>
  <si>
    <t>A portion of these bonds were refunded with the 2016B Bonds</t>
  </si>
  <si>
    <t>Russell Leigh &amp; Associates</t>
  </si>
  <si>
    <t>Capital Leases - Buses</t>
  </si>
  <si>
    <t>Capital Leases</t>
  </si>
  <si>
    <t xml:space="preserve">Page 7 - Acct 7990 - Other Sources </t>
  </si>
  <si>
    <t>Proceeds from capital leases for buses - $137,000</t>
  </si>
  <si>
    <t>#8 Schedule of Long-Term Debt Errors</t>
  </si>
  <si>
    <t>Error for Long Term Debt Issued because of capital leases issued for school buses in the Transportation Fund</t>
  </si>
  <si>
    <t>Error for Long Term Debt Retired because principal on capital leases was paid in the Transportation Fund</t>
  </si>
  <si>
    <t>Fisher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</si>
</sst>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73" fillId="0" borderId="0" xfId="0" applyFont="1"/>
    <xf numFmtId="0" fontId="64" fillId="0" borderId="0" xfId="0" applyFont="1"/>
    <xf numFmtId="6" fontId="55" fillId="0" borderId="0" xfId="0"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9010001026</v>
      </c>
      <c r="B13" s="2038"/>
      <c r="C13" s="2038"/>
      <c r="D13" s="2038"/>
      <c r="E13" s="2038"/>
      <c r="F13" s="2038"/>
      <c r="G13" s="2038"/>
      <c r="H13" s="2039"/>
      <c r="I13" s="31"/>
      <c r="J13" s="30"/>
      <c r="K13" s="28"/>
      <c r="L13" s="30"/>
      <c r="M13" s="30"/>
      <c r="N13" s="30"/>
      <c r="O13" s="30"/>
      <c r="P13" s="30"/>
      <c r="Q13" s="30"/>
      <c r="R13" s="30"/>
      <c r="S13" s="30"/>
      <c r="T13" s="2042" t="s">
        <v>2079</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2078</v>
      </c>
      <c r="B15" s="2040"/>
      <c r="C15" s="2040"/>
      <c r="D15" s="2040"/>
      <c r="E15" s="2040"/>
      <c r="F15" s="2040"/>
      <c r="G15" s="2040"/>
      <c r="H15" s="2041"/>
      <c r="T15" s="2046" t="s">
        <v>2080</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2131</v>
      </c>
      <c r="B17" s="1997"/>
      <c r="C17" s="1997"/>
      <c r="D17" s="1997"/>
      <c r="E17" s="1997"/>
      <c r="F17" s="1997"/>
      <c r="G17" s="1997"/>
      <c r="H17" s="2022"/>
      <c r="T17" s="2053" t="s">
        <v>2081</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2082</v>
      </c>
      <c r="B19" s="1982"/>
      <c r="C19" s="1982"/>
      <c r="D19" s="1982"/>
      <c r="E19" s="1982"/>
      <c r="F19" s="1982"/>
      <c r="G19" s="1982"/>
      <c r="H19" s="1962"/>
      <c r="I19" s="30"/>
      <c r="J19" s="99"/>
      <c r="K19" s="40"/>
      <c r="L19" s="38"/>
      <c r="M19" s="112" t="s">
        <v>333</v>
      </c>
      <c r="P19" s="27"/>
      <c r="Q19" s="27"/>
      <c r="R19" s="27"/>
      <c r="S19" s="31"/>
      <c r="T19" s="2036" t="s">
        <v>2083</v>
      </c>
      <c r="U19" s="1961"/>
      <c r="V19" s="1961"/>
      <c r="W19" s="1962"/>
      <c r="X19" s="2051" t="s">
        <v>2084</v>
      </c>
      <c r="Y19" s="2052"/>
      <c r="Z19" s="2049">
        <v>60942</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2085</v>
      </c>
      <c r="B21" s="1961"/>
      <c r="C21" s="1961"/>
      <c r="D21" s="1961"/>
      <c r="E21" s="1961"/>
      <c r="F21" s="1961"/>
      <c r="G21" s="1961"/>
      <c r="H21" s="1962"/>
      <c r="I21" s="2016" t="s">
        <v>699</v>
      </c>
      <c r="J21" s="2011"/>
      <c r="K21" s="2011"/>
      <c r="L21" s="2011"/>
      <c r="M21" s="2011"/>
      <c r="N21" s="2011"/>
      <c r="O21" s="2011"/>
      <c r="P21" s="2011"/>
      <c r="Q21" s="2011"/>
      <c r="R21" s="2011"/>
      <c r="S21" s="2017"/>
      <c r="T21" s="2061" t="s">
        <v>2086</v>
      </c>
      <c r="U21" s="2062"/>
      <c r="V21" s="2062"/>
      <c r="W21" s="2062"/>
      <c r="X21" s="2067" t="s">
        <v>2087</v>
      </c>
      <c r="Y21" s="2068"/>
      <c r="Z21" s="2068"/>
      <c r="AA21" s="2069"/>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c r="B23" s="2014"/>
      <c r="C23" s="2014"/>
      <c r="D23" s="2014"/>
      <c r="E23" s="2014"/>
      <c r="F23" s="2014"/>
      <c r="G23" s="2014"/>
      <c r="H23" s="2015"/>
      <c r="T23" s="2059" t="s">
        <v>2088</v>
      </c>
      <c r="U23" s="2060"/>
      <c r="V23" s="2060"/>
      <c r="W23" s="2060"/>
      <c r="X23" s="2064">
        <v>44469</v>
      </c>
      <c r="Y23" s="2065"/>
      <c r="Z23" s="2065"/>
      <c r="AA23" s="2066"/>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61843</v>
      </c>
      <c r="B25" s="1961"/>
      <c r="C25" s="1961"/>
      <c r="D25" s="1961"/>
      <c r="E25" s="1961"/>
      <c r="F25" s="1961"/>
      <c r="G25" s="1961"/>
      <c r="H25" s="1962"/>
      <c r="I25" s="113"/>
      <c r="J25" s="1985"/>
      <c r="K25" s="1985"/>
      <c r="L25" s="1985"/>
      <c r="M25" s="1985"/>
      <c r="N25" s="1985"/>
      <c r="O25" s="1985"/>
      <c r="P25" s="1985"/>
      <c r="Q25" s="1985"/>
      <c r="R25" s="1985"/>
      <c r="S25" s="1986"/>
      <c r="T25" s="2056" t="s">
        <v>2089</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2090</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2091</v>
      </c>
      <c r="B40" s="1975"/>
      <c r="C40" s="1976"/>
      <c r="D40" s="1976"/>
      <c r="E40" s="1976"/>
      <c r="F40" s="1977"/>
      <c r="G40" s="1977"/>
      <c r="H40" s="1978"/>
      <c r="I40" s="1999"/>
      <c r="J40" s="2000"/>
      <c r="K40" s="2000"/>
      <c r="L40" s="2000"/>
      <c r="M40" s="2000"/>
      <c r="N40" s="2000"/>
      <c r="O40" s="2000"/>
      <c r="P40" s="2000"/>
      <c r="Q40" s="2000"/>
      <c r="R40" s="2000"/>
      <c r="S40" s="2001"/>
      <c r="T40" s="1999"/>
      <c r="U40" s="2063"/>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2092</v>
      </c>
      <c r="B42" s="1980"/>
      <c r="C42" s="1981"/>
      <c r="D42" s="1979"/>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114" sqref="C114:D11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2123</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114" sqref="C114:D1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78493570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2.8672E-2</v>
      </c>
      <c r="E10" s="356" t="s">
        <v>1062</v>
      </c>
      <c r="F10" s="355">
        <v>5.424E-3</v>
      </c>
      <c r="G10" s="356" t="s">
        <v>1062</v>
      </c>
      <c r="H10" s="355">
        <v>2.4859999999999999E-3</v>
      </c>
      <c r="I10" s="356" t="s">
        <v>1063</v>
      </c>
      <c r="J10" s="1754">
        <f>ROUND(D10+F10+H10,5)</f>
        <v>3.6580000000000001E-2</v>
      </c>
      <c r="K10" s="222"/>
      <c r="L10" s="355">
        <v>7.6000000000000004E-5</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5951544</v>
      </c>
      <c r="E16" s="356"/>
      <c r="F16" s="1755">
        <f>SUM('Acct Summary 7-8'!C17,'Acct Summary 7-8'!D17,'Acct Summary 7-8'!F17)</f>
        <v>6028429</v>
      </c>
      <c r="G16" s="356"/>
      <c r="H16" s="1755">
        <f>SUM(D16-F16)</f>
        <v>-76885</v>
      </c>
      <c r="I16" s="222"/>
      <c r="J16" s="1755">
        <f>SUM('Acct Summary 7-8'!C81,'Acct Summary 7-8'!D81,'Acct Summary 7-8'!F81,'Acct Summary 7-8'!I81)</f>
        <v>6800676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10832112.66</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8361000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114" sqref="C114:D11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Fisher CUSD 1</v>
      </c>
      <c r="E7" s="391"/>
      <c r="G7" s="252"/>
      <c r="H7" s="387"/>
      <c r="I7" s="387"/>
      <c r="J7" s="387"/>
      <c r="K7" s="387"/>
      <c r="L7" s="329"/>
      <c r="M7" s="329"/>
      <c r="N7" s="329"/>
      <c r="O7" s="329"/>
      <c r="P7" s="329"/>
    </row>
    <row r="8" spans="1:18" ht="12.75" x14ac:dyDescent="0.2">
      <c r="A8" s="329"/>
      <c r="B8" s="329"/>
      <c r="C8" s="389" t="s">
        <v>1187</v>
      </c>
      <c r="D8" s="392">
        <f>COVER!A13</f>
        <v>9010001026</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6800676</v>
      </c>
      <c r="I12" s="404"/>
      <c r="J12" s="404"/>
      <c r="K12" s="405">
        <f>TRUNC((H12/H13*100000),5)/100000</f>
        <v>1.1426742371</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5951544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6028429</v>
      </c>
      <c r="I17" s="404"/>
      <c r="J17" s="416"/>
      <c r="K17" s="405">
        <f>TRUNC((H17/H18*100000),5)/100000</f>
        <v>1.0129184964</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5951544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80.711733299999992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6800676</v>
      </c>
      <c r="I24" s="422"/>
      <c r="J24" s="422"/>
      <c r="K24" s="423">
        <f>TRUNC(((H24/H25*100000)/100000),2)</f>
        <v>406.11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16745.636109999999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2440600.5720099998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8361000</v>
      </c>
      <c r="I32" s="420"/>
      <c r="J32" s="420"/>
      <c r="K32" s="423">
        <f>TRUNC(100-((((H32/H33*100))*100)/100),2)</f>
        <v>22.81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10832112.66</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3.3499999999999996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C114" sqref="C114:D114"/>
      <selection pane="bottomLeft" activeCell="C114" sqref="C114:D11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998783</v>
      </c>
      <c r="D4" s="466">
        <v>216139</v>
      </c>
      <c r="E4" s="466">
        <v>323644</v>
      </c>
      <c r="F4" s="466">
        <v>164506</v>
      </c>
      <c r="G4" s="466">
        <v>97494</v>
      </c>
      <c r="H4" s="466">
        <v>533</v>
      </c>
      <c r="I4" s="466">
        <v>45748</v>
      </c>
      <c r="J4" s="467">
        <v>121557</v>
      </c>
      <c r="K4" s="466">
        <v>23672</v>
      </c>
      <c r="L4" s="466">
        <v>58191</v>
      </c>
      <c r="M4" s="468"/>
      <c r="N4" s="469"/>
    </row>
    <row r="5" spans="1:14" x14ac:dyDescent="0.2">
      <c r="A5" s="463" t="s">
        <v>1049</v>
      </c>
      <c r="B5" s="470">
        <v>120</v>
      </c>
      <c r="C5" s="465">
        <v>2441500</v>
      </c>
      <c r="D5" s="466">
        <v>1305000</v>
      </c>
      <c r="E5" s="466">
        <v>343000</v>
      </c>
      <c r="F5" s="466">
        <v>750000</v>
      </c>
      <c r="G5" s="466"/>
      <c r="H5" s="466"/>
      <c r="I5" s="466">
        <v>879000</v>
      </c>
      <c r="J5" s="467">
        <v>10000</v>
      </c>
      <c r="K5" s="471">
        <v>105000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3440283</v>
      </c>
      <c r="D13" s="1759">
        <f t="shared" ref="D13:L13" si="0">SUM(D4:D12)</f>
        <v>1521139</v>
      </c>
      <c r="E13" s="1759">
        <f t="shared" si="0"/>
        <v>666644</v>
      </c>
      <c r="F13" s="1759">
        <f t="shared" si="0"/>
        <v>914506</v>
      </c>
      <c r="G13" s="1759">
        <f t="shared" si="0"/>
        <v>97494</v>
      </c>
      <c r="H13" s="1759">
        <f t="shared" si="0"/>
        <v>533</v>
      </c>
      <c r="I13" s="1759">
        <f t="shared" si="0"/>
        <v>924748</v>
      </c>
      <c r="J13" s="1759">
        <f t="shared" si="0"/>
        <v>131557</v>
      </c>
      <c r="K13" s="1759">
        <f t="shared" si="0"/>
        <v>128672</v>
      </c>
      <c r="L13" s="1759">
        <f t="shared" si="0"/>
        <v>58191</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386397</v>
      </c>
      <c r="N16" s="484"/>
    </row>
    <row r="17" spans="1:14" s="485" customFormat="1" ht="12.75" customHeight="1" x14ac:dyDescent="0.2">
      <c r="A17" s="482" t="s">
        <v>1470</v>
      </c>
      <c r="B17" s="483">
        <v>230</v>
      </c>
      <c r="C17" s="477"/>
      <c r="D17" s="477"/>
      <c r="E17" s="477"/>
      <c r="F17" s="477"/>
      <c r="G17" s="477"/>
      <c r="H17" s="477"/>
      <c r="I17" s="477"/>
      <c r="J17" s="477"/>
      <c r="K17" s="477"/>
      <c r="L17" s="477"/>
      <c r="M17" s="467">
        <v>18908558</v>
      </c>
      <c r="N17" s="484"/>
    </row>
    <row r="18" spans="1:14" s="485" customFormat="1" ht="12.75" customHeight="1" x14ac:dyDescent="0.2">
      <c r="A18" s="482" t="s">
        <v>1471</v>
      </c>
      <c r="B18" s="483">
        <v>240</v>
      </c>
      <c r="C18" s="477"/>
      <c r="D18" s="477"/>
      <c r="E18" s="477"/>
      <c r="F18" s="477"/>
      <c r="G18" s="477"/>
      <c r="H18" s="477"/>
      <c r="I18" s="477"/>
      <c r="J18" s="477"/>
      <c r="K18" s="477"/>
      <c r="L18" s="477"/>
      <c r="M18" s="467">
        <v>716539</v>
      </c>
      <c r="N18" s="484"/>
    </row>
    <row r="19" spans="1:14" s="485" customFormat="1" ht="12.75" customHeight="1" x14ac:dyDescent="0.2">
      <c r="A19" s="482" t="s">
        <v>1472</v>
      </c>
      <c r="B19" s="483">
        <v>250</v>
      </c>
      <c r="C19" s="477"/>
      <c r="D19" s="477"/>
      <c r="E19" s="477"/>
      <c r="F19" s="477"/>
      <c r="G19" s="477"/>
      <c r="H19" s="477"/>
      <c r="I19" s="477"/>
      <c r="J19" s="477"/>
      <c r="K19" s="477"/>
      <c r="L19" s="477"/>
      <c r="M19" s="467">
        <v>2772898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666644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7694356</v>
      </c>
    </row>
    <row r="23" spans="1:14" ht="13.5" customHeight="1" thickBot="1" x14ac:dyDescent="0.25">
      <c r="A23" s="1758" t="s">
        <v>664</v>
      </c>
      <c r="B23" s="1763"/>
      <c r="C23" s="468"/>
      <c r="D23" s="468"/>
      <c r="E23" s="468"/>
      <c r="F23" s="468"/>
      <c r="G23" s="468"/>
      <c r="H23" s="468"/>
      <c r="I23" s="468"/>
      <c r="J23" s="468"/>
      <c r="K23" s="468"/>
      <c r="L23" s="468"/>
      <c r="M23" s="1710">
        <f>SUM(M15:M22)</f>
        <v>22784392</v>
      </c>
      <c r="N23" s="1710">
        <f>SUM(N21:N22)</f>
        <v>8361000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58191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58191</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8361000</v>
      </c>
    </row>
    <row r="37" spans="1:14" ht="13.5" thickBot="1" x14ac:dyDescent="0.25">
      <c r="A37" s="1758" t="s">
        <v>674</v>
      </c>
      <c r="B37" s="1763"/>
      <c r="C37" s="477"/>
      <c r="D37" s="477"/>
      <c r="E37" s="477"/>
      <c r="F37" s="477"/>
      <c r="G37" s="477"/>
      <c r="H37" s="477"/>
      <c r="I37" s="477"/>
      <c r="J37" s="477"/>
      <c r="K37" s="477"/>
      <c r="L37" s="480"/>
      <c r="M37" s="468"/>
      <c r="N37" s="1710">
        <f>SUM(N36:N36)</f>
        <v>8361000</v>
      </c>
    </row>
    <row r="38" spans="1:14" s="329" customFormat="1" ht="13.5" customHeight="1" thickTop="1" x14ac:dyDescent="0.2">
      <c r="A38" s="496" t="s">
        <v>440</v>
      </c>
      <c r="B38" s="483">
        <v>714</v>
      </c>
      <c r="C38" s="466"/>
      <c r="D38" s="466"/>
      <c r="E38" s="466"/>
      <c r="F38" s="466"/>
      <c r="G38" s="466">
        <v>97494</v>
      </c>
      <c r="H38" s="466"/>
      <c r="I38" s="466"/>
      <c r="J38" s="467"/>
      <c r="K38" s="466"/>
      <c r="L38" s="481"/>
      <c r="M38" s="497"/>
      <c r="N38" s="497"/>
    </row>
    <row r="39" spans="1:14" s="329" customFormat="1" ht="13.5" customHeight="1" x14ac:dyDescent="0.2">
      <c r="A39" s="496" t="s">
        <v>360</v>
      </c>
      <c r="B39" s="483">
        <v>730</v>
      </c>
      <c r="C39" s="466">
        <v>3440283</v>
      </c>
      <c r="D39" s="466">
        <v>1521139</v>
      </c>
      <c r="E39" s="466">
        <v>666644</v>
      </c>
      <c r="F39" s="466">
        <v>914506</v>
      </c>
      <c r="G39" s="466"/>
      <c r="H39" s="466">
        <v>533</v>
      </c>
      <c r="I39" s="466">
        <v>924748</v>
      </c>
      <c r="J39" s="467">
        <v>131557</v>
      </c>
      <c r="K39" s="466">
        <v>128672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22784392</v>
      </c>
      <c r="N40" s="497"/>
    </row>
    <row r="41" spans="1:14" ht="13.5" customHeight="1" thickBot="1" x14ac:dyDescent="0.25">
      <c r="A41" s="1758" t="s">
        <v>676</v>
      </c>
      <c r="B41" s="1728"/>
      <c r="C41" s="1710">
        <f>(SUM(C34,C37,C38,C39))</f>
        <v>3440283</v>
      </c>
      <c r="D41" s="1710">
        <f t="shared" ref="D41:L41" si="2">SUM(D34,D37,D38:D39)</f>
        <v>1521139</v>
      </c>
      <c r="E41" s="1710">
        <f t="shared" si="2"/>
        <v>666644</v>
      </c>
      <c r="F41" s="1710">
        <f t="shared" si="2"/>
        <v>914506</v>
      </c>
      <c r="G41" s="1710">
        <f t="shared" si="2"/>
        <v>97494</v>
      </c>
      <c r="H41" s="1710">
        <f t="shared" si="2"/>
        <v>533</v>
      </c>
      <c r="I41" s="1710">
        <f t="shared" si="2"/>
        <v>924748</v>
      </c>
      <c r="J41" s="1710">
        <f t="shared" si="2"/>
        <v>131557</v>
      </c>
      <c r="K41" s="1710">
        <f t="shared" si="2"/>
        <v>128672</v>
      </c>
      <c r="L41" s="1710">
        <f t="shared" si="2"/>
        <v>58191</v>
      </c>
      <c r="M41" s="1710">
        <f>SUM(M40)</f>
        <v>22784392</v>
      </c>
      <c r="N41" s="1710">
        <f>SUM(N37)</f>
        <v>8361000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114" sqref="C114:D114"/>
      <selection pane="bottomLeft" activeCell="C114" sqref="C114:D1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4" t="s">
        <v>1579</v>
      </c>
      <c r="B4" s="1955">
        <v>1000</v>
      </c>
      <c r="C4" s="1764">
        <f>'Revenues 9-14'!C109</f>
        <v>3063052</v>
      </c>
      <c r="D4" s="1764">
        <f>'Revenues 9-14'!D109</f>
        <v>442805</v>
      </c>
      <c r="E4" s="1764">
        <f>'Revenues 9-14'!E109</f>
        <v>1024207</v>
      </c>
      <c r="F4" s="1764">
        <f>'Revenues 9-14'!F109</f>
        <v>196326</v>
      </c>
      <c r="G4" s="1764">
        <f>'Revenues 9-14'!G109</f>
        <v>178224</v>
      </c>
      <c r="H4" s="1764">
        <f>'Revenues 9-14'!H109</f>
        <v>0</v>
      </c>
      <c r="I4" s="1764">
        <f>'Revenues 9-14'!I109</f>
        <v>12287</v>
      </c>
      <c r="J4" s="1764">
        <f>'Revenues 9-14'!J109</f>
        <v>126961</v>
      </c>
      <c r="K4" s="1764">
        <f>'Revenues 9-14'!K109</f>
        <v>37220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1680688</v>
      </c>
      <c r="D6" s="1765">
        <f>'Revenues 9-14'!D173</f>
        <v>0</v>
      </c>
      <c r="E6" s="1765">
        <f>'Revenues 9-14'!E173</f>
        <v>0</v>
      </c>
      <c r="F6" s="1765">
        <f>'Revenues 9-14'!F173</f>
        <v>168248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388138</v>
      </c>
      <c r="D7" s="1765">
        <f>'Revenues 9-14'!D274</f>
        <v>0</v>
      </c>
      <c r="E7" s="1765">
        <f>'Revenues 9-14'!E274</f>
        <v>108987</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5131878</v>
      </c>
      <c r="D8" s="1710">
        <f t="shared" ref="D8:K8" si="0">SUM(D4:D7)</f>
        <v>442805</v>
      </c>
      <c r="E8" s="1710">
        <f t="shared" si="0"/>
        <v>1133194</v>
      </c>
      <c r="F8" s="1710">
        <f t="shared" si="0"/>
        <v>364574</v>
      </c>
      <c r="G8" s="1710">
        <f t="shared" si="0"/>
        <v>178224</v>
      </c>
      <c r="H8" s="1710">
        <f t="shared" si="0"/>
        <v>0</v>
      </c>
      <c r="I8" s="1710">
        <f t="shared" si="0"/>
        <v>12287</v>
      </c>
      <c r="J8" s="1710">
        <f t="shared" si="0"/>
        <v>126961</v>
      </c>
      <c r="K8" s="1710">
        <f t="shared" si="0"/>
        <v>37220</v>
      </c>
      <c r="L8" s="347"/>
    </row>
    <row r="9" spans="1:13" ht="15.75" thickTop="1" x14ac:dyDescent="0.2">
      <c r="A9" s="514" t="s">
        <v>1752</v>
      </c>
      <c r="B9" s="515">
        <v>3998</v>
      </c>
      <c r="C9" s="481">
        <v>2107219</v>
      </c>
      <c r="D9" s="516"/>
      <c r="E9" s="481"/>
      <c r="F9" s="481"/>
      <c r="G9" s="517"/>
      <c r="H9" s="481"/>
      <c r="I9" s="509" t="s">
        <v>1231</v>
      </c>
      <c r="J9" s="478"/>
      <c r="K9" s="481"/>
      <c r="L9" s="347"/>
    </row>
    <row r="10" spans="1:13" s="519" customFormat="1" ht="13.5" thickBot="1" x14ac:dyDescent="0.25">
      <c r="A10" s="1758" t="s">
        <v>1235</v>
      </c>
      <c r="B10" s="1731"/>
      <c r="C10" s="1710">
        <f>SUM(C8:C9)</f>
        <v>7239097</v>
      </c>
      <c r="D10" s="1710">
        <f t="shared" ref="D10:K10" si="1">SUM(D8:D9)</f>
        <v>442805</v>
      </c>
      <c r="E10" s="1710">
        <f t="shared" si="1"/>
        <v>1133194</v>
      </c>
      <c r="F10" s="1710">
        <f t="shared" si="1"/>
        <v>364574</v>
      </c>
      <c r="G10" s="1710">
        <f t="shared" si="1"/>
        <v>178224</v>
      </c>
      <c r="H10" s="1710">
        <f t="shared" si="1"/>
        <v>0</v>
      </c>
      <c r="I10" s="1710">
        <f t="shared" si="1"/>
        <v>12287</v>
      </c>
      <c r="J10" s="1710">
        <f t="shared" si="1"/>
        <v>126961</v>
      </c>
      <c r="K10" s="1710">
        <f t="shared" si="1"/>
        <v>37220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3403006</v>
      </c>
      <c r="D12" s="520" t="s">
        <v>1231</v>
      </c>
      <c r="E12" s="468" t="s">
        <v>1231</v>
      </c>
      <c r="F12" s="468" t="s">
        <v>1231</v>
      </c>
      <c r="G12" s="1764">
        <f>'Expenditures 15-22'!K229</f>
        <v>81395</v>
      </c>
      <c r="H12" s="521"/>
      <c r="I12" s="468" t="s">
        <v>1231</v>
      </c>
      <c r="J12" s="468" t="s">
        <v>1231</v>
      </c>
      <c r="K12" s="521" t="s">
        <v>1231</v>
      </c>
      <c r="L12" s="347"/>
    </row>
    <row r="13" spans="1:13" ht="15.75" customHeight="1" x14ac:dyDescent="0.2">
      <c r="A13" s="1598" t="s">
        <v>477</v>
      </c>
      <c r="B13" s="1600">
        <v>2000</v>
      </c>
      <c r="C13" s="1765">
        <f>'Expenditures 15-22'!K74</f>
        <v>1410057</v>
      </c>
      <c r="D13" s="1765">
        <f>'Expenditures 15-22'!K129</f>
        <v>632981</v>
      </c>
      <c r="E13" s="469" t="s">
        <v>1231</v>
      </c>
      <c r="F13" s="1765">
        <f>'Expenditures 15-22'!K184</f>
        <v>366084</v>
      </c>
      <c r="G13" s="1765">
        <f>'Expenditures 15-22'!K279</f>
        <v>101471</v>
      </c>
      <c r="H13" s="1765">
        <f>'Expenditures 15-22'!K303</f>
        <v>0</v>
      </c>
      <c r="I13" s="468" t="s">
        <v>1231</v>
      </c>
      <c r="J13" s="1765">
        <f>'Expenditures 15-22'!K330</f>
        <v>115882</v>
      </c>
      <c r="K13" s="1769">
        <f>'Expenditures 15-22'!K352</f>
        <v>6794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168801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979813</v>
      </c>
      <c r="F16" s="1765">
        <f>'Expenditures 15-22'!K208</f>
        <v>47500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4981864</v>
      </c>
      <c r="D17" s="1710">
        <f t="shared" si="2"/>
        <v>632981</v>
      </c>
      <c r="E17" s="1710">
        <f t="shared" si="2"/>
        <v>979813</v>
      </c>
      <c r="F17" s="1710">
        <f t="shared" si="2"/>
        <v>413584</v>
      </c>
      <c r="G17" s="1710">
        <f t="shared" si="2"/>
        <v>182866</v>
      </c>
      <c r="H17" s="1710">
        <f t="shared" si="2"/>
        <v>0</v>
      </c>
      <c r="I17" s="468"/>
      <c r="J17" s="1710">
        <f>SUM(J12:J16)</f>
        <v>115882</v>
      </c>
      <c r="K17" s="1710">
        <f>SUM(K12:K16)</f>
        <v>6794</v>
      </c>
      <c r="L17" s="347"/>
    </row>
    <row r="18" spans="1:12" ht="15" customHeight="1" thickTop="1" x14ac:dyDescent="0.2">
      <c r="A18" s="1766" t="s">
        <v>1753</v>
      </c>
      <c r="B18" s="1767">
        <v>4180</v>
      </c>
      <c r="C18" s="1764">
        <f t="shared" ref="C18:H18" si="3">C9</f>
        <v>2107219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7089083</v>
      </c>
      <c r="D19" s="1710">
        <f t="shared" si="4"/>
        <v>632981</v>
      </c>
      <c r="E19" s="1710">
        <f t="shared" si="4"/>
        <v>979813</v>
      </c>
      <c r="F19" s="1710">
        <f t="shared" si="4"/>
        <v>413584</v>
      </c>
      <c r="G19" s="1710">
        <f t="shared" si="4"/>
        <v>182866</v>
      </c>
      <c r="H19" s="1710">
        <f t="shared" si="4"/>
        <v>0</v>
      </c>
      <c r="I19" s="468"/>
      <c r="J19" s="1710">
        <f>SUM(J17:J18)</f>
        <v>115882</v>
      </c>
      <c r="K19" s="1710">
        <f>SUM(K17:K18)</f>
        <v>6794</v>
      </c>
      <c r="L19" s="347"/>
    </row>
    <row r="20" spans="1:12" ht="16.5" thickTop="1" thickBot="1" x14ac:dyDescent="0.25">
      <c r="A20" s="2146" t="s">
        <v>1754</v>
      </c>
      <c r="B20" s="2147"/>
      <c r="C20" s="1768">
        <f>C8-C17</f>
        <v>150014</v>
      </c>
      <c r="D20" s="1768">
        <f t="shared" ref="D20:K20" si="5">D8-D17</f>
        <v>-190176</v>
      </c>
      <c r="E20" s="1768">
        <f t="shared" si="5"/>
        <v>153381</v>
      </c>
      <c r="F20" s="1768">
        <f t="shared" si="5"/>
        <v>-49010</v>
      </c>
      <c r="G20" s="1768">
        <f t="shared" si="5"/>
        <v>-4642</v>
      </c>
      <c r="H20" s="1768">
        <f t="shared" si="5"/>
        <v>0</v>
      </c>
      <c r="I20" s="1768">
        <f t="shared" si="5"/>
        <v>12287</v>
      </c>
      <c r="J20" s="1768">
        <f t="shared" si="5"/>
        <v>11079</v>
      </c>
      <c r="K20" s="1768">
        <f t="shared" si="5"/>
        <v>30426</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6499</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v>137000</v>
      </c>
      <c r="G43" s="467"/>
      <c r="H43" s="467"/>
      <c r="I43" s="467"/>
      <c r="J43" s="467"/>
      <c r="K43" s="467"/>
      <c r="L43" s="524"/>
    </row>
    <row r="44" spans="1:12" s="485" customFormat="1" ht="13.5" customHeight="1" thickBot="1" x14ac:dyDescent="0.25">
      <c r="A44" s="2160" t="s">
        <v>392</v>
      </c>
      <c r="B44" s="2161"/>
      <c r="C44" s="1725">
        <f>SUM(C24:C43)</f>
        <v>6499</v>
      </c>
      <c r="D44" s="1725">
        <f t="shared" ref="D44:K44" si="6">SUM(D24:D43)</f>
        <v>0</v>
      </c>
      <c r="E44" s="1725">
        <f t="shared" si="6"/>
        <v>0</v>
      </c>
      <c r="F44" s="1725">
        <f t="shared" si="6"/>
        <v>137000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6499</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6499</v>
      </c>
      <c r="J76" s="1725">
        <f t="shared" si="7"/>
        <v>0</v>
      </c>
      <c r="K76" s="1725">
        <f t="shared" si="7"/>
        <v>0</v>
      </c>
      <c r="L76" s="524"/>
    </row>
    <row r="77" spans="1:12" ht="14.25" thickTop="1" thickBot="1" x14ac:dyDescent="0.25">
      <c r="A77" s="2138" t="s">
        <v>1239</v>
      </c>
      <c r="B77" s="2139"/>
      <c r="C77" s="1725">
        <f t="shared" ref="C77:K77" si="8">C44-C76</f>
        <v>6499</v>
      </c>
      <c r="D77" s="1725">
        <f t="shared" si="8"/>
        <v>0</v>
      </c>
      <c r="E77" s="1725">
        <f t="shared" si="8"/>
        <v>0</v>
      </c>
      <c r="F77" s="1725">
        <f t="shared" si="8"/>
        <v>137000</v>
      </c>
      <c r="G77" s="1725">
        <f t="shared" si="8"/>
        <v>0</v>
      </c>
      <c r="H77" s="1725">
        <f t="shared" si="8"/>
        <v>0</v>
      </c>
      <c r="I77" s="1725">
        <f t="shared" si="8"/>
        <v>-6499</v>
      </c>
      <c r="J77" s="1725">
        <f t="shared" si="8"/>
        <v>0</v>
      </c>
      <c r="K77" s="1725">
        <f t="shared" si="8"/>
        <v>0</v>
      </c>
      <c r="L77" s="347"/>
    </row>
    <row r="78" spans="1:12" ht="21.75" customHeight="1" thickTop="1" thickBot="1" x14ac:dyDescent="0.25">
      <c r="A78" s="2142" t="s">
        <v>618</v>
      </c>
      <c r="B78" s="2143"/>
      <c r="C78" s="1724">
        <f t="shared" ref="C78:K78" si="9">C20+C77</f>
        <v>156513</v>
      </c>
      <c r="D78" s="1724">
        <f t="shared" si="9"/>
        <v>-190176</v>
      </c>
      <c r="E78" s="1724">
        <f t="shared" si="9"/>
        <v>153381</v>
      </c>
      <c r="F78" s="1724">
        <f t="shared" si="9"/>
        <v>87990</v>
      </c>
      <c r="G78" s="1724">
        <f t="shared" si="9"/>
        <v>-4642</v>
      </c>
      <c r="H78" s="1724">
        <f t="shared" si="9"/>
        <v>0</v>
      </c>
      <c r="I78" s="1724">
        <f t="shared" si="9"/>
        <v>5788</v>
      </c>
      <c r="J78" s="1724">
        <f t="shared" si="9"/>
        <v>11079</v>
      </c>
      <c r="K78" s="1724">
        <f t="shared" si="9"/>
        <v>30426</v>
      </c>
      <c r="L78" s="533"/>
    </row>
    <row r="79" spans="1:12" ht="13.5" thickTop="1" x14ac:dyDescent="0.2">
      <c r="A79" s="1516" t="s">
        <v>2071</v>
      </c>
      <c r="B79" s="534"/>
      <c r="C79" s="478">
        <v>3283770</v>
      </c>
      <c r="D79" s="535">
        <v>1711315</v>
      </c>
      <c r="E79" s="535">
        <v>513263</v>
      </c>
      <c r="F79" s="535">
        <v>826516</v>
      </c>
      <c r="G79" s="535">
        <v>102136</v>
      </c>
      <c r="H79" s="535">
        <v>533</v>
      </c>
      <c r="I79" s="535">
        <v>918960</v>
      </c>
      <c r="J79" s="535">
        <v>120478</v>
      </c>
      <c r="K79" s="535">
        <v>98246</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2072</v>
      </c>
      <c r="B81" s="2141"/>
      <c r="C81" s="1710">
        <f>(SUM(C78:C80))</f>
        <v>3440283</v>
      </c>
      <c r="D81" s="1710">
        <f>SUM(D78:D80)</f>
        <v>1521139</v>
      </c>
      <c r="E81" s="1710">
        <f t="shared" ref="E81:K81" si="10">SUM(E78:E80)</f>
        <v>666644</v>
      </c>
      <c r="F81" s="1710">
        <f t="shared" si="10"/>
        <v>914506</v>
      </c>
      <c r="G81" s="1710">
        <f t="shared" si="10"/>
        <v>97494</v>
      </c>
      <c r="H81" s="1710">
        <f t="shared" si="10"/>
        <v>533</v>
      </c>
      <c r="I81" s="1710">
        <f t="shared" si="10"/>
        <v>924748</v>
      </c>
      <c r="J81" s="1710">
        <f t="shared" si="10"/>
        <v>131557</v>
      </c>
      <c r="K81" s="1710">
        <f t="shared" si="10"/>
        <v>128672</v>
      </c>
      <c r="L81" s="347"/>
    </row>
    <row r="82" spans="1:12" ht="0.75" customHeight="1" thickTop="1" thickBot="1" x14ac:dyDescent="0.25">
      <c r="A82" s="536" t="s">
        <v>361</v>
      </c>
      <c r="B82" s="537"/>
      <c r="C82" s="538">
        <f>(C81-C79)</f>
        <v>156513</v>
      </c>
      <c r="D82" s="538">
        <f t="shared" ref="D82:K82" si="11">(D81-D79)</f>
        <v>-190176</v>
      </c>
      <c r="E82" s="538">
        <f t="shared" si="11"/>
        <v>153381</v>
      </c>
      <c r="F82" s="538">
        <f t="shared" si="11"/>
        <v>87990</v>
      </c>
      <c r="G82" s="538">
        <f t="shared" si="11"/>
        <v>-4642</v>
      </c>
      <c r="H82" s="538">
        <f t="shared" si="11"/>
        <v>0</v>
      </c>
      <c r="I82" s="538">
        <f t="shared" si="11"/>
        <v>5788</v>
      </c>
      <c r="J82" s="538">
        <f t="shared" si="11"/>
        <v>11079</v>
      </c>
      <c r="K82" s="538">
        <f t="shared" si="11"/>
        <v>30426</v>
      </c>
    </row>
    <row r="83" spans="1:12" ht="14.25" hidden="1" thickTop="1" thickBot="1" x14ac:dyDescent="0.25">
      <c r="A83" s="539" t="s">
        <v>362</v>
      </c>
      <c r="B83" s="464"/>
      <c r="C83" s="540">
        <f>C82/C81</f>
        <v>4.5494222422980901E-2</v>
      </c>
      <c r="D83" s="540">
        <f t="shared" ref="D83:K83" si="12">D82/D81</f>
        <v>-0.12502210514620951</v>
      </c>
      <c r="E83" s="540">
        <f t="shared" si="12"/>
        <v>0.23007932269697171</v>
      </c>
      <c r="F83" s="540">
        <f t="shared" si="12"/>
        <v>9.6215880486295327E-2</v>
      </c>
      <c r="G83" s="540">
        <f t="shared" si="12"/>
        <v>-4.7613186452499644E-2</v>
      </c>
      <c r="H83" s="540">
        <f t="shared" si="12"/>
        <v>0</v>
      </c>
      <c r="I83" s="540">
        <f t="shared" si="12"/>
        <v>6.259002452560049E-3</v>
      </c>
      <c r="J83" s="540">
        <f t="shared" si="12"/>
        <v>8.4214446969754553E-2</v>
      </c>
      <c r="K83" s="540">
        <f t="shared" si="12"/>
        <v>0.23646170106938572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114" sqref="C114:D11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2222733</v>
      </c>
      <c r="D5" s="481">
        <v>419720</v>
      </c>
      <c r="E5" s="466">
        <v>545134</v>
      </c>
      <c r="F5" s="548">
        <v>191976</v>
      </c>
      <c r="G5" s="466">
        <v>77834</v>
      </c>
      <c r="H5" s="466"/>
      <c r="I5" s="466">
        <v>5786</v>
      </c>
      <c r="J5" s="467">
        <v>123361</v>
      </c>
      <c r="K5" s="466">
        <v>36593</v>
      </c>
    </row>
    <row r="6" spans="1:12" ht="15" x14ac:dyDescent="0.2">
      <c r="A6" s="463" t="s">
        <v>1761</v>
      </c>
      <c r="B6" s="470">
        <v>1130</v>
      </c>
      <c r="C6" s="466"/>
      <c r="D6" s="466"/>
      <c r="E6" s="475"/>
      <c r="F6" s="475"/>
      <c r="G6" s="468"/>
      <c r="H6" s="468"/>
      <c r="I6" s="468"/>
      <c r="J6" s="468"/>
      <c r="K6" s="468"/>
    </row>
    <row r="7" spans="1:12" x14ac:dyDescent="0.2">
      <c r="A7" s="463" t="s">
        <v>112</v>
      </c>
      <c r="B7" s="549">
        <v>1140</v>
      </c>
      <c r="C7" s="466">
        <v>46210</v>
      </c>
      <c r="D7" s="466"/>
      <c r="E7" s="468"/>
      <c r="F7" s="467"/>
      <c r="G7" s="467"/>
      <c r="H7" s="467"/>
      <c r="I7" s="468"/>
      <c r="J7" s="468"/>
      <c r="K7" s="468"/>
    </row>
    <row r="8" spans="1:12" x14ac:dyDescent="0.2">
      <c r="A8" s="463" t="s">
        <v>433</v>
      </c>
      <c r="B8" s="470">
        <v>1150</v>
      </c>
      <c r="C8" s="475"/>
      <c r="D8" s="475"/>
      <c r="E8" s="477"/>
      <c r="F8" s="477"/>
      <c r="G8" s="481">
        <v>87460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2268943</v>
      </c>
      <c r="D12" s="1729">
        <f t="shared" si="0"/>
        <v>419720</v>
      </c>
      <c r="E12" s="1729">
        <f t="shared" si="0"/>
        <v>545134</v>
      </c>
      <c r="F12" s="1729">
        <f t="shared" si="0"/>
        <v>191976</v>
      </c>
      <c r="G12" s="1729">
        <f t="shared" si="0"/>
        <v>165294</v>
      </c>
      <c r="H12" s="1729">
        <f t="shared" si="0"/>
        <v>0</v>
      </c>
      <c r="I12" s="1729">
        <f t="shared" si="0"/>
        <v>5786</v>
      </c>
      <c r="J12" s="1729">
        <f t="shared" si="0"/>
        <v>123361</v>
      </c>
      <c r="K12" s="1710">
        <f t="shared" si="0"/>
        <v>36593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1140</v>
      </c>
      <c r="D14" s="466">
        <v>211</v>
      </c>
      <c r="E14" s="466">
        <v>242</v>
      </c>
      <c r="F14" s="466">
        <v>96</v>
      </c>
      <c r="G14" s="466">
        <v>78</v>
      </c>
      <c r="H14" s="466"/>
      <c r="I14" s="466">
        <v>2</v>
      </c>
      <c r="J14" s="467">
        <v>55</v>
      </c>
      <c r="K14" s="466">
        <v>19</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434370</v>
      </c>
      <c r="D16" s="466"/>
      <c r="E16" s="466"/>
      <c r="F16" s="466"/>
      <c r="G16" s="466">
        <v>12513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435510</v>
      </c>
      <c r="D18" s="1732">
        <f t="shared" ref="D18:K18" si="1">SUM(D14:D17)</f>
        <v>211</v>
      </c>
      <c r="E18" s="1732">
        <f t="shared" si="1"/>
        <v>242</v>
      </c>
      <c r="F18" s="1732">
        <f t="shared" si="1"/>
        <v>96</v>
      </c>
      <c r="G18" s="1732">
        <f t="shared" si="1"/>
        <v>12591</v>
      </c>
      <c r="H18" s="1732">
        <f t="shared" si="1"/>
        <v>0</v>
      </c>
      <c r="I18" s="1732">
        <f t="shared" si="1"/>
        <v>2</v>
      </c>
      <c r="J18" s="1732">
        <f t="shared" si="1"/>
        <v>55</v>
      </c>
      <c r="K18" s="1733">
        <f t="shared" si="1"/>
        <v>19</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253</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253</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24888</v>
      </c>
      <c r="D65" s="466">
        <v>9016</v>
      </c>
      <c r="E65" s="466">
        <v>2884</v>
      </c>
      <c r="F65" s="467">
        <v>4254</v>
      </c>
      <c r="G65" s="466">
        <v>339</v>
      </c>
      <c r="H65" s="466"/>
      <c r="I65" s="466">
        <v>6499</v>
      </c>
      <c r="J65" s="467">
        <v>215</v>
      </c>
      <c r="K65" s="466">
        <v>608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24888</v>
      </c>
      <c r="D67" s="1710">
        <f t="shared" ref="D67:K67" si="2">SUM(D65:D66)</f>
        <v>9016</v>
      </c>
      <c r="E67" s="1710">
        <f t="shared" si="2"/>
        <v>2884</v>
      </c>
      <c r="F67" s="1710">
        <f t="shared" si="2"/>
        <v>4254</v>
      </c>
      <c r="G67" s="1710">
        <f t="shared" si="2"/>
        <v>339</v>
      </c>
      <c r="H67" s="1710">
        <f t="shared" si="2"/>
        <v>0</v>
      </c>
      <c r="I67" s="1710">
        <f t="shared" si="2"/>
        <v>6499</v>
      </c>
      <c r="J67" s="1710">
        <f t="shared" si="2"/>
        <v>215</v>
      </c>
      <c r="K67" s="1710">
        <f t="shared" si="2"/>
        <v>608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94105</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6936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101041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22776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35084</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98667</v>
      </c>
      <c r="D81" s="466"/>
      <c r="E81" s="468"/>
      <c r="F81" s="468"/>
      <c r="G81" s="468"/>
      <c r="H81" s="468"/>
      <c r="I81" s="468"/>
      <c r="J81" s="468"/>
      <c r="K81" s="468"/>
    </row>
    <row r="82" spans="1:11" ht="12.75" customHeight="1" thickBot="1" x14ac:dyDescent="0.25">
      <c r="A82" s="1730" t="s">
        <v>259</v>
      </c>
      <c r="B82" s="1731"/>
      <c r="C82" s="1729">
        <f>SUM(C77:C81)</f>
        <v>156527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27755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27755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5250</v>
      </c>
      <c r="E95" s="521"/>
      <c r="F95" s="521"/>
      <c r="G95" s="521"/>
      <c r="H95" s="521"/>
      <c r="I95" s="521"/>
      <c r="J95" s="521"/>
      <c r="K95" s="521"/>
    </row>
    <row r="96" spans="1:11" ht="12.75" customHeight="1" x14ac:dyDescent="0.2">
      <c r="A96" s="463" t="s">
        <v>409</v>
      </c>
      <c r="B96" s="470">
        <v>1920</v>
      </c>
      <c r="C96" s="551">
        <v>2834</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3330</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3350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475947</v>
      </c>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585</v>
      </c>
      <c r="D106" s="489"/>
      <c r="E106" s="467"/>
      <c r="F106" s="467"/>
      <c r="G106" s="467"/>
      <c r="H106" s="467"/>
      <c r="I106" s="521"/>
      <c r="J106" s="467"/>
      <c r="K106" s="467"/>
    </row>
    <row r="107" spans="1:12" ht="12.75" customHeight="1" x14ac:dyDescent="0.2">
      <c r="A107" s="463" t="s">
        <v>80</v>
      </c>
      <c r="B107" s="470">
        <v>1999</v>
      </c>
      <c r="C107" s="551">
        <v>41366</v>
      </c>
      <c r="D107" s="466">
        <v>8608</v>
      </c>
      <c r="E107" s="466"/>
      <c r="F107" s="466"/>
      <c r="G107" s="466"/>
      <c r="H107" s="466"/>
      <c r="I107" s="466"/>
      <c r="J107" s="467"/>
      <c r="K107" s="466"/>
    </row>
    <row r="108" spans="1:12" ht="12.75" customHeight="1" thickBot="1" x14ac:dyDescent="0.25">
      <c r="A108" s="1730" t="s">
        <v>508</v>
      </c>
      <c r="B108" s="1734"/>
      <c r="C108" s="1729">
        <f>SUM(C95:C107)</f>
        <v>48135</v>
      </c>
      <c r="D108" s="1729">
        <f t="shared" ref="D108:K108" si="3">SUM(D95:D107)</f>
        <v>13858</v>
      </c>
      <c r="E108" s="1729">
        <f t="shared" si="3"/>
        <v>475947</v>
      </c>
      <c r="F108" s="1729">
        <f t="shared" si="3"/>
        <v>0</v>
      </c>
      <c r="G108" s="1729">
        <f t="shared" si="3"/>
        <v>0</v>
      </c>
      <c r="H108" s="1729">
        <f t="shared" si="3"/>
        <v>0</v>
      </c>
      <c r="I108" s="1729">
        <f t="shared" si="3"/>
        <v>0</v>
      </c>
      <c r="J108" s="1729">
        <f t="shared" si="3"/>
        <v>3330</v>
      </c>
      <c r="K108" s="1710">
        <f t="shared" si="3"/>
        <v>0</v>
      </c>
    </row>
    <row r="109" spans="1:12" ht="14.25" thickTop="1" thickBot="1" x14ac:dyDescent="0.25">
      <c r="A109" s="1735" t="s">
        <v>266</v>
      </c>
      <c r="B109" s="1736" t="s">
        <v>591</v>
      </c>
      <c r="C109" s="1737">
        <f t="shared" ref="C109:K109" si="4">SUM(C12,C18,C40,C63,C67,C75,C82,C93,C108,)</f>
        <v>3063052</v>
      </c>
      <c r="D109" s="1737">
        <f t="shared" si="4"/>
        <v>442805</v>
      </c>
      <c r="E109" s="1737">
        <f t="shared" si="4"/>
        <v>1024207</v>
      </c>
      <c r="F109" s="1737">
        <f t="shared" si="4"/>
        <v>196326</v>
      </c>
      <c r="G109" s="1737">
        <f t="shared" si="4"/>
        <v>178224</v>
      </c>
      <c r="H109" s="1737">
        <f t="shared" si="4"/>
        <v>0</v>
      </c>
      <c r="I109" s="1737">
        <f t="shared" si="4"/>
        <v>12287</v>
      </c>
      <c r="J109" s="1737">
        <f t="shared" si="4"/>
        <v>126961</v>
      </c>
      <c r="K109" s="1724">
        <f t="shared" si="4"/>
        <v>37220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1428784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1428784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54720</v>
      </c>
      <c r="D124" s="561"/>
      <c r="E124" s="468"/>
      <c r="F124" s="548"/>
      <c r="G124" s="468"/>
      <c r="H124" s="468"/>
      <c r="I124" s="468"/>
      <c r="J124" s="468"/>
      <c r="K124" s="468"/>
    </row>
    <row r="125" spans="1:11" ht="12.75" customHeight="1" x14ac:dyDescent="0.2">
      <c r="A125" s="463" t="s">
        <v>1521</v>
      </c>
      <c r="B125" s="562">
        <v>3105</v>
      </c>
      <c r="C125" s="466">
        <v>40460</v>
      </c>
      <c r="D125" s="561"/>
      <c r="E125" s="468"/>
      <c r="F125" s="466"/>
      <c r="G125" s="468"/>
      <c r="H125" s="468"/>
      <c r="I125" s="468"/>
      <c r="J125" s="468"/>
      <c r="K125" s="468"/>
    </row>
    <row r="126" spans="1:11" ht="12.75" customHeight="1" x14ac:dyDescent="0.2">
      <c r="A126" s="463" t="s">
        <v>922</v>
      </c>
      <c r="B126" s="562">
        <v>3110</v>
      </c>
      <c r="C126" s="551">
        <v>44886</v>
      </c>
      <c r="D126" s="466"/>
      <c r="E126" s="468"/>
      <c r="F126" s="466"/>
      <c r="G126" s="468"/>
      <c r="H126" s="468"/>
      <c r="I126" s="468"/>
      <c r="J126" s="468"/>
      <c r="K126" s="468"/>
    </row>
    <row r="127" spans="1:11" ht="12.75" customHeight="1" x14ac:dyDescent="0.2">
      <c r="A127" s="463" t="s">
        <v>107</v>
      </c>
      <c r="B127" s="562">
        <v>3120</v>
      </c>
      <c r="C127" s="466">
        <v>81288</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379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221733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11687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3419</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15106</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1042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13273</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110100</v>
      </c>
      <c r="G151" s="467"/>
      <c r="H151" s="468"/>
      <c r="I151" s="468"/>
      <c r="J151" s="468"/>
      <c r="K151" s="468"/>
    </row>
    <row r="152" spans="1:11" ht="12.75" customHeight="1" x14ac:dyDescent="0.2">
      <c r="A152" s="463" t="s">
        <v>1117</v>
      </c>
      <c r="B152" s="562">
        <v>3510</v>
      </c>
      <c r="C152" s="551"/>
      <c r="D152" s="466"/>
      <c r="E152" s="561"/>
      <c r="F152" s="466">
        <v>50128</v>
      </c>
      <c r="G152" s="467"/>
      <c r="H152" s="468"/>
      <c r="I152" s="468"/>
      <c r="J152" s="468"/>
      <c r="K152" s="468"/>
    </row>
    <row r="153" spans="1:11" ht="12.75" customHeight="1" x14ac:dyDescent="0.2">
      <c r="A153" s="463" t="s">
        <v>71</v>
      </c>
      <c r="B153" s="562">
        <v>3599</v>
      </c>
      <c r="C153" s="551"/>
      <c r="D153" s="466"/>
      <c r="E153" s="561"/>
      <c r="F153" s="466">
        <v>8020</v>
      </c>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168248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4" t="s">
        <v>418</v>
      </c>
      <c r="B172" s="2165"/>
      <c r="C172" s="1744">
        <f t="shared" ref="C172:K172" si="6">SUM(C131,C140,C144,C145:C149,C154,C155:C170,C171)</f>
        <v>251904</v>
      </c>
      <c r="D172" s="1744">
        <f t="shared" si="6"/>
        <v>0</v>
      </c>
      <c r="E172" s="1744">
        <f t="shared" si="6"/>
        <v>0</v>
      </c>
      <c r="F172" s="1744">
        <f t="shared" si="6"/>
        <v>168248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1680688</v>
      </c>
      <c r="D173" s="1737">
        <f>SUM(D121,D172)</f>
        <v>0</v>
      </c>
      <c r="E173" s="1737">
        <f>SUM(E121,E172)</f>
        <v>0</v>
      </c>
      <c r="F173" s="1737">
        <f t="shared" ref="F173:K173" si="7">SUM(F121,F172)</f>
        <v>168248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89618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89618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151209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151209</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2872</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2872</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v>108987</v>
      </c>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108987</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27263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6132</v>
      </c>
      <c r="D270" s="576"/>
      <c r="E270" s="468"/>
      <c r="F270" s="576"/>
      <c r="G270" s="576"/>
      <c r="H270" s="468"/>
      <c r="I270" s="468"/>
      <c r="J270" s="468"/>
      <c r="K270" s="468"/>
    </row>
    <row r="271" spans="1:11" ht="12.75" customHeight="1" thickTop="1" thickBot="1" x14ac:dyDescent="0.25">
      <c r="A271" s="463" t="s">
        <v>395</v>
      </c>
      <c r="B271" s="470">
        <v>4992</v>
      </c>
      <c r="C271" s="575">
        <v>33345</v>
      </c>
      <c r="D271" s="576"/>
      <c r="E271" s="468"/>
      <c r="F271" s="576"/>
      <c r="G271" s="576"/>
      <c r="H271" s="468"/>
      <c r="I271" s="468"/>
      <c r="J271" s="468"/>
      <c r="K271" s="468"/>
    </row>
    <row r="272" spans="1:11" s="594" customFormat="1" ht="12.75" customHeight="1" thickTop="1" thickBot="1" x14ac:dyDescent="0.25">
      <c r="A272" s="563" t="s">
        <v>77</v>
      </c>
      <c r="B272" s="557">
        <v>4999</v>
      </c>
      <c r="C272" s="575">
        <v>67699</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388138</v>
      </c>
      <c r="D273" s="1737">
        <f t="shared" si="10"/>
        <v>0</v>
      </c>
      <c r="E273" s="1737">
        <f t="shared" si="10"/>
        <v>108987</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388138</v>
      </c>
      <c r="D274" s="1737">
        <f>SUM(D178,D184,D273)</f>
        <v>0</v>
      </c>
      <c r="E274" s="1737">
        <f>SUM(E178,E273)</f>
        <v>108987</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5131878</v>
      </c>
      <c r="D275" s="1737">
        <f t="shared" si="12"/>
        <v>442805</v>
      </c>
      <c r="E275" s="1737">
        <f t="shared" si="12"/>
        <v>1133194</v>
      </c>
      <c r="F275" s="1737">
        <f t="shared" si="12"/>
        <v>364574</v>
      </c>
      <c r="G275" s="1737">
        <f t="shared" si="12"/>
        <v>178224</v>
      </c>
      <c r="H275" s="1737">
        <f t="shared" si="12"/>
        <v>0</v>
      </c>
      <c r="I275" s="1737">
        <f t="shared" si="12"/>
        <v>12287</v>
      </c>
      <c r="J275" s="1737">
        <f t="shared" si="12"/>
        <v>126961</v>
      </c>
      <c r="K275" s="1724">
        <f t="shared" si="12"/>
        <v>37220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71" activePane="bottomLeft" state="frozen"/>
      <selection activeCell="C114" sqref="C114:D114"/>
      <selection pane="bottomLeft" activeCell="C114" sqref="C114:D11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1679445</v>
      </c>
      <c r="D5" s="466">
        <v>422277</v>
      </c>
      <c r="E5" s="466">
        <v>3420</v>
      </c>
      <c r="F5" s="466">
        <v>111032</v>
      </c>
      <c r="G5" s="466">
        <v>57971</v>
      </c>
      <c r="H5" s="466">
        <v>254</v>
      </c>
      <c r="I5" s="467"/>
      <c r="J5" s="467"/>
      <c r="K5" s="1693">
        <f>SUM(C5:J5)</f>
        <v>2274399</v>
      </c>
      <c r="L5" s="466">
        <v>2279559</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464867</v>
      </c>
      <c r="D8" s="466">
        <v>123876</v>
      </c>
      <c r="E8" s="466"/>
      <c r="F8" s="466">
        <v>595</v>
      </c>
      <c r="G8" s="466"/>
      <c r="H8" s="466"/>
      <c r="I8" s="467"/>
      <c r="J8" s="467"/>
      <c r="K8" s="1693">
        <f t="shared" si="0"/>
        <v>589338</v>
      </c>
      <c r="L8" s="466">
        <v>589844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113579</v>
      </c>
      <c r="D10" s="466">
        <v>19983</v>
      </c>
      <c r="E10" s="466"/>
      <c r="F10" s="466">
        <v>8579</v>
      </c>
      <c r="G10" s="466"/>
      <c r="H10" s="466"/>
      <c r="I10" s="467">
        <v>5943</v>
      </c>
      <c r="J10" s="467"/>
      <c r="K10" s="1693">
        <f t="shared" si="0"/>
        <v>148084</v>
      </c>
      <c r="L10" s="466">
        <v>148130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121620</v>
      </c>
      <c r="D13" s="466">
        <v>35149</v>
      </c>
      <c r="E13" s="466">
        <v>1636</v>
      </c>
      <c r="F13" s="466">
        <v>12432</v>
      </c>
      <c r="G13" s="466">
        <v>1264</v>
      </c>
      <c r="H13" s="466"/>
      <c r="I13" s="467"/>
      <c r="J13" s="467"/>
      <c r="K13" s="1693">
        <f t="shared" si="0"/>
        <v>172101</v>
      </c>
      <c r="L13" s="466">
        <v>171493</v>
      </c>
    </row>
    <row r="14" spans="1:14" x14ac:dyDescent="0.2">
      <c r="A14" s="1526" t="s">
        <v>1020</v>
      </c>
      <c r="B14" s="615">
        <v>1500</v>
      </c>
      <c r="C14" s="466">
        <v>81152</v>
      </c>
      <c r="D14" s="466">
        <v>38</v>
      </c>
      <c r="E14" s="466">
        <v>36612</v>
      </c>
      <c r="F14" s="466">
        <v>76344</v>
      </c>
      <c r="G14" s="466">
        <v>925</v>
      </c>
      <c r="H14" s="466">
        <v>7958</v>
      </c>
      <c r="I14" s="467"/>
      <c r="J14" s="467"/>
      <c r="K14" s="1693">
        <f t="shared" si="0"/>
        <v>203029</v>
      </c>
      <c r="L14" s="466">
        <v>133683</v>
      </c>
    </row>
    <row r="15" spans="1:14" x14ac:dyDescent="0.2">
      <c r="A15" s="1526" t="s">
        <v>1021</v>
      </c>
      <c r="B15" s="615">
        <v>1600</v>
      </c>
      <c r="C15" s="466">
        <v>1041</v>
      </c>
      <c r="D15" s="466"/>
      <c r="E15" s="466"/>
      <c r="F15" s="466"/>
      <c r="G15" s="466"/>
      <c r="H15" s="466"/>
      <c r="I15" s="467"/>
      <c r="J15" s="467"/>
      <c r="K15" s="1693">
        <f t="shared" si="0"/>
        <v>1041</v>
      </c>
      <c r="L15" s="466">
        <v>1570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14260</v>
      </c>
      <c r="D17" s="467">
        <v>754</v>
      </c>
      <c r="E17" s="467"/>
      <c r="F17" s="467"/>
      <c r="G17" s="467"/>
      <c r="H17" s="467"/>
      <c r="I17" s="467"/>
      <c r="J17" s="467"/>
      <c r="K17" s="1693">
        <f t="shared" si="0"/>
        <v>15014</v>
      </c>
      <c r="L17" s="466">
        <v>15100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2475964</v>
      </c>
      <c r="D33" s="1692">
        <f t="shared" ref="D33:L33" si="1">SUM(D5:D32)</f>
        <v>602077</v>
      </c>
      <c r="E33" s="1692">
        <f t="shared" si="1"/>
        <v>41668</v>
      </c>
      <c r="F33" s="1692">
        <f t="shared" si="1"/>
        <v>208982</v>
      </c>
      <c r="G33" s="1692">
        <f t="shared" si="1"/>
        <v>60160</v>
      </c>
      <c r="H33" s="1692">
        <f t="shared" si="1"/>
        <v>8212</v>
      </c>
      <c r="I33" s="1692">
        <f t="shared" si="1"/>
        <v>5943</v>
      </c>
      <c r="J33" s="1692">
        <f t="shared" si="1"/>
        <v>0</v>
      </c>
      <c r="K33" s="1692">
        <f t="shared" si="1"/>
        <v>3403006</v>
      </c>
      <c r="L33" s="1692">
        <f t="shared" si="1"/>
        <v>3339379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55190</v>
      </c>
      <c r="D37" s="466">
        <v>14184</v>
      </c>
      <c r="E37" s="466">
        <v>4453</v>
      </c>
      <c r="F37" s="466">
        <v>146</v>
      </c>
      <c r="G37" s="466"/>
      <c r="H37" s="466"/>
      <c r="I37" s="467"/>
      <c r="J37" s="467"/>
      <c r="K37" s="1693">
        <f t="shared" si="2"/>
        <v>73973</v>
      </c>
      <c r="L37" s="466">
        <v>73432</v>
      </c>
    </row>
    <row r="38" spans="1:14" x14ac:dyDescent="0.2">
      <c r="A38" s="1526" t="s">
        <v>207</v>
      </c>
      <c r="B38" s="615">
        <v>2130</v>
      </c>
      <c r="C38" s="466">
        <v>9291</v>
      </c>
      <c r="D38" s="466"/>
      <c r="E38" s="466"/>
      <c r="F38" s="466">
        <v>1465</v>
      </c>
      <c r="G38" s="466"/>
      <c r="H38" s="466"/>
      <c r="I38" s="467"/>
      <c r="J38" s="467"/>
      <c r="K38" s="1693">
        <f t="shared" si="2"/>
        <v>10756</v>
      </c>
      <c r="L38" s="466">
        <v>10658</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57003</v>
      </c>
      <c r="D40" s="466">
        <v>7991</v>
      </c>
      <c r="E40" s="466">
        <v>11058</v>
      </c>
      <c r="F40" s="466">
        <v>95</v>
      </c>
      <c r="G40" s="466"/>
      <c r="H40" s="466"/>
      <c r="I40" s="467"/>
      <c r="J40" s="467"/>
      <c r="K40" s="1693">
        <f t="shared" si="2"/>
        <v>76147</v>
      </c>
      <c r="L40" s="466">
        <v>76553</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121484</v>
      </c>
      <c r="D42" s="1692">
        <f t="shared" ref="D42:L42" si="3">SUM(D36:D41)</f>
        <v>22175</v>
      </c>
      <c r="E42" s="1692">
        <f t="shared" si="3"/>
        <v>15511</v>
      </c>
      <c r="F42" s="1692">
        <f t="shared" si="3"/>
        <v>1706</v>
      </c>
      <c r="G42" s="1692">
        <f t="shared" si="3"/>
        <v>0</v>
      </c>
      <c r="H42" s="1692">
        <f t="shared" si="3"/>
        <v>0</v>
      </c>
      <c r="I42" s="1692">
        <f t="shared" si="3"/>
        <v>0</v>
      </c>
      <c r="J42" s="1692">
        <f t="shared" si="3"/>
        <v>0</v>
      </c>
      <c r="K42" s="1692">
        <f t="shared" si="3"/>
        <v>160876</v>
      </c>
      <c r="L42" s="1692">
        <f t="shared" si="3"/>
        <v>160643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9925</v>
      </c>
      <c r="D44" s="481">
        <v>42</v>
      </c>
      <c r="E44" s="481">
        <v>18537</v>
      </c>
      <c r="F44" s="481"/>
      <c r="G44" s="481"/>
      <c r="H44" s="481"/>
      <c r="I44" s="467"/>
      <c r="J44" s="467"/>
      <c r="K44" s="1694">
        <f>SUM(C44:J44)</f>
        <v>28504</v>
      </c>
      <c r="L44" s="481">
        <v>30145</v>
      </c>
    </row>
    <row r="45" spans="1:14" x14ac:dyDescent="0.2">
      <c r="A45" s="1526" t="s">
        <v>869</v>
      </c>
      <c r="B45" s="615">
        <v>2220</v>
      </c>
      <c r="C45" s="466">
        <v>128617</v>
      </c>
      <c r="D45" s="466">
        <v>22487</v>
      </c>
      <c r="E45" s="466">
        <v>728</v>
      </c>
      <c r="F45" s="466">
        <v>17495</v>
      </c>
      <c r="G45" s="466"/>
      <c r="H45" s="466">
        <v>1240</v>
      </c>
      <c r="I45" s="467"/>
      <c r="J45" s="467"/>
      <c r="K45" s="1694">
        <f>SUM(C45:J45)</f>
        <v>170567</v>
      </c>
      <c r="L45" s="466">
        <v>170882</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138542</v>
      </c>
      <c r="D47" s="1692">
        <f t="shared" ref="D47:K47" si="4">SUM(D44:D46)</f>
        <v>22529</v>
      </c>
      <c r="E47" s="1692">
        <f t="shared" si="4"/>
        <v>19265</v>
      </c>
      <c r="F47" s="1692">
        <f t="shared" si="4"/>
        <v>17495</v>
      </c>
      <c r="G47" s="1692">
        <f t="shared" si="4"/>
        <v>0</v>
      </c>
      <c r="H47" s="1692">
        <f t="shared" si="4"/>
        <v>1240</v>
      </c>
      <c r="I47" s="1692">
        <f t="shared" si="4"/>
        <v>0</v>
      </c>
      <c r="J47" s="1692">
        <f t="shared" si="4"/>
        <v>0</v>
      </c>
      <c r="K47" s="1692">
        <f t="shared" si="4"/>
        <v>199071</v>
      </c>
      <c r="L47" s="1692">
        <f>SUM(L44:L46)</f>
        <v>201027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3335</v>
      </c>
      <c r="D49" s="481"/>
      <c r="E49" s="481">
        <v>27345</v>
      </c>
      <c r="F49" s="481">
        <v>3240</v>
      </c>
      <c r="G49" s="481"/>
      <c r="H49" s="481">
        <v>7144</v>
      </c>
      <c r="I49" s="467"/>
      <c r="J49" s="467"/>
      <c r="K49" s="1694">
        <f>SUM(C49:J49)</f>
        <v>41064</v>
      </c>
      <c r="L49" s="481">
        <v>41245</v>
      </c>
    </row>
    <row r="50" spans="1:14" x14ac:dyDescent="0.2">
      <c r="A50" s="1526" t="s">
        <v>872</v>
      </c>
      <c r="B50" s="615">
        <v>2320</v>
      </c>
      <c r="C50" s="466">
        <v>141054</v>
      </c>
      <c r="D50" s="466">
        <v>38534</v>
      </c>
      <c r="E50" s="466">
        <v>4792</v>
      </c>
      <c r="F50" s="466">
        <v>3867</v>
      </c>
      <c r="G50" s="466">
        <v>830</v>
      </c>
      <c r="H50" s="466">
        <v>3134</v>
      </c>
      <c r="I50" s="467"/>
      <c r="J50" s="467"/>
      <c r="K50" s="1694">
        <f>SUM(C50:J50)</f>
        <v>192211</v>
      </c>
      <c r="L50" s="466">
        <v>192810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144389</v>
      </c>
      <c r="D53" s="1692">
        <f t="shared" ref="D53:L53" si="5">SUM(D49:D52)</f>
        <v>38534</v>
      </c>
      <c r="E53" s="1692">
        <f t="shared" si="5"/>
        <v>32137</v>
      </c>
      <c r="F53" s="1692">
        <f t="shared" si="5"/>
        <v>7107</v>
      </c>
      <c r="G53" s="1692">
        <f t="shared" si="5"/>
        <v>830</v>
      </c>
      <c r="H53" s="1692">
        <f t="shared" si="5"/>
        <v>10278</v>
      </c>
      <c r="I53" s="1692">
        <f t="shared" si="5"/>
        <v>0</v>
      </c>
      <c r="J53" s="1692">
        <f t="shared" si="5"/>
        <v>0</v>
      </c>
      <c r="K53" s="1692">
        <f t="shared" si="5"/>
        <v>233275</v>
      </c>
      <c r="L53" s="1692">
        <f t="shared" si="5"/>
        <v>234055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307533</v>
      </c>
      <c r="D55" s="481">
        <v>84571</v>
      </c>
      <c r="E55" s="481">
        <v>19861</v>
      </c>
      <c r="F55" s="481">
        <v>41970</v>
      </c>
      <c r="G55" s="481"/>
      <c r="H55" s="481">
        <v>1577</v>
      </c>
      <c r="I55" s="467"/>
      <c r="J55" s="467"/>
      <c r="K55" s="1694">
        <f>SUM(C55:J55)</f>
        <v>455512</v>
      </c>
      <c r="L55" s="481">
        <v>439557</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307533</v>
      </c>
      <c r="D57" s="1696">
        <f t="shared" ref="D57:K57" si="6">SUM(D55:D56)</f>
        <v>84571</v>
      </c>
      <c r="E57" s="1696">
        <f t="shared" si="6"/>
        <v>19861</v>
      </c>
      <c r="F57" s="1696">
        <f t="shared" si="6"/>
        <v>41970</v>
      </c>
      <c r="G57" s="1696">
        <f t="shared" si="6"/>
        <v>0</v>
      </c>
      <c r="H57" s="1696">
        <f t="shared" si="6"/>
        <v>1577</v>
      </c>
      <c r="I57" s="1696">
        <f t="shared" si="6"/>
        <v>0</v>
      </c>
      <c r="J57" s="1696">
        <f t="shared" si="6"/>
        <v>0</v>
      </c>
      <c r="K57" s="1696">
        <f t="shared" si="6"/>
        <v>455512</v>
      </c>
      <c r="L57" s="1692">
        <f>SUM(L55:L56)</f>
        <v>439557</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46858</v>
      </c>
      <c r="D60" s="466">
        <v>7160</v>
      </c>
      <c r="E60" s="466">
        <v>4000</v>
      </c>
      <c r="F60" s="466"/>
      <c r="G60" s="466"/>
      <c r="H60" s="466"/>
      <c r="I60" s="467"/>
      <c r="J60" s="467"/>
      <c r="K60" s="1694">
        <f t="shared" si="7"/>
        <v>58018</v>
      </c>
      <c r="L60" s="466">
        <v>58667</v>
      </c>
      <c r="M60" s="610"/>
      <c r="N60" s="610"/>
    </row>
    <row r="61" spans="1:14" s="343" customFormat="1" x14ac:dyDescent="0.2">
      <c r="A61" s="1526" t="s">
        <v>206</v>
      </c>
      <c r="B61" s="615">
        <v>2540</v>
      </c>
      <c r="C61" s="466"/>
      <c r="D61" s="466"/>
      <c r="E61" s="466"/>
      <c r="F61" s="466">
        <v>134876</v>
      </c>
      <c r="G61" s="466"/>
      <c r="H61" s="466"/>
      <c r="I61" s="467"/>
      <c r="J61" s="467"/>
      <c r="K61" s="1694">
        <f t="shared" si="7"/>
        <v>134876</v>
      </c>
      <c r="L61" s="466">
        <v>147700</v>
      </c>
      <c r="M61" s="610"/>
      <c r="N61" s="610"/>
    </row>
    <row r="62" spans="1:14" s="343" customFormat="1" x14ac:dyDescent="0.2">
      <c r="A62" s="1526" t="s">
        <v>1010</v>
      </c>
      <c r="B62" s="615">
        <v>2550</v>
      </c>
      <c r="C62" s="466"/>
      <c r="D62" s="466"/>
      <c r="E62" s="466">
        <v>6256</v>
      </c>
      <c r="F62" s="466">
        <v>737</v>
      </c>
      <c r="G62" s="466"/>
      <c r="H62" s="466"/>
      <c r="I62" s="467"/>
      <c r="J62" s="467"/>
      <c r="K62" s="1694">
        <f t="shared" si="7"/>
        <v>6993</v>
      </c>
      <c r="L62" s="466">
        <v>7017</v>
      </c>
      <c r="M62" s="610"/>
      <c r="N62" s="610"/>
    </row>
    <row r="63" spans="1:14" s="610" customFormat="1" x14ac:dyDescent="0.2">
      <c r="A63" s="1526" t="s">
        <v>102</v>
      </c>
      <c r="B63" s="615">
        <v>2560</v>
      </c>
      <c r="C63" s="466">
        <v>65815</v>
      </c>
      <c r="D63" s="466">
        <v>14285</v>
      </c>
      <c r="E63" s="466">
        <v>8205</v>
      </c>
      <c r="F63" s="466">
        <v>73131</v>
      </c>
      <c r="G63" s="466"/>
      <c r="H63" s="466"/>
      <c r="I63" s="467"/>
      <c r="J63" s="467"/>
      <c r="K63" s="1694">
        <f t="shared" si="7"/>
        <v>161436</v>
      </c>
      <c r="L63" s="466">
        <v>161447</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112673</v>
      </c>
      <c r="D65" s="1692">
        <f t="shared" ref="D65:L65" si="8">SUM(D59:D64)</f>
        <v>21445</v>
      </c>
      <c r="E65" s="1692">
        <f t="shared" si="8"/>
        <v>18461</v>
      </c>
      <c r="F65" s="1692">
        <f t="shared" si="8"/>
        <v>208744</v>
      </c>
      <c r="G65" s="1692">
        <f t="shared" si="8"/>
        <v>0</v>
      </c>
      <c r="H65" s="1692">
        <f t="shared" si="8"/>
        <v>0</v>
      </c>
      <c r="I65" s="1692">
        <f t="shared" si="8"/>
        <v>0</v>
      </c>
      <c r="J65" s="1692">
        <f t="shared" si="8"/>
        <v>0</v>
      </c>
      <c r="K65" s="1692">
        <f t="shared" si="8"/>
        <v>361323</v>
      </c>
      <c r="L65" s="1692">
        <f t="shared" si="8"/>
        <v>374831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824621</v>
      </c>
      <c r="D74" s="1699">
        <f t="shared" ref="D74:K74" si="10">SUM(D42,D47,D53,D57,D65,D72,D73)</f>
        <v>189254</v>
      </c>
      <c r="E74" s="1699">
        <f t="shared" si="10"/>
        <v>105235</v>
      </c>
      <c r="F74" s="1699">
        <f t="shared" si="10"/>
        <v>277022</v>
      </c>
      <c r="G74" s="1699">
        <f t="shared" si="10"/>
        <v>830</v>
      </c>
      <c r="H74" s="1699">
        <f t="shared" si="10"/>
        <v>13095</v>
      </c>
      <c r="I74" s="1699">
        <f t="shared" si="10"/>
        <v>0</v>
      </c>
      <c r="J74" s="1699">
        <f t="shared" si="10"/>
        <v>0</v>
      </c>
      <c r="K74" s="1699">
        <f t="shared" si="10"/>
        <v>1410057</v>
      </c>
      <c r="L74" s="1699">
        <f>SUM(L42,L47,L53,L57,L65,L72,L73)</f>
        <v>1410113</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95941</v>
      </c>
      <c r="F79" s="617"/>
      <c r="G79" s="617"/>
      <c r="H79" s="466"/>
      <c r="I79" s="477"/>
      <c r="J79" s="477"/>
      <c r="K79" s="1693">
        <f t="shared" si="11"/>
        <v>95941</v>
      </c>
      <c r="L79" s="466">
        <v>96000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1186</v>
      </c>
      <c r="I81" s="477"/>
      <c r="J81" s="477"/>
      <c r="K81" s="1693">
        <f t="shared" si="11"/>
        <v>1186</v>
      </c>
      <c r="L81" s="466">
        <v>1187</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95941</v>
      </c>
      <c r="F84" s="617"/>
      <c r="G84" s="617"/>
      <c r="H84" s="1692">
        <f>SUM(H78:H83)</f>
        <v>1186</v>
      </c>
      <c r="I84" s="477"/>
      <c r="J84" s="477"/>
      <c r="K84" s="1692">
        <f>SUM(K78:K83)</f>
        <v>97127</v>
      </c>
      <c r="L84" s="1692">
        <f>SUM(L78:L83)</f>
        <v>97187</v>
      </c>
    </row>
    <row r="85" spans="1:12" ht="12.75" customHeight="1" thickTop="1" thickBot="1" x14ac:dyDescent="0.25">
      <c r="A85" s="1533" t="s">
        <v>273</v>
      </c>
      <c r="B85" s="636">
        <v>4210</v>
      </c>
      <c r="C85" s="617"/>
      <c r="D85" s="617"/>
      <c r="E85" s="637"/>
      <c r="F85" s="617"/>
      <c r="G85" s="617"/>
      <c r="H85" s="535">
        <v>7550</v>
      </c>
      <c r="I85" s="477"/>
      <c r="J85" s="477"/>
      <c r="K85" s="1699">
        <f>H85</f>
        <v>7550</v>
      </c>
      <c r="L85" s="530">
        <v>7550</v>
      </c>
    </row>
    <row r="86" spans="1:12" ht="12.75" customHeight="1" thickTop="1" thickBot="1" x14ac:dyDescent="0.25">
      <c r="A86" s="1534" t="s">
        <v>723</v>
      </c>
      <c r="B86" s="638">
        <v>4220</v>
      </c>
      <c r="C86" s="617"/>
      <c r="D86" s="617"/>
      <c r="E86" s="639"/>
      <c r="F86" s="617"/>
      <c r="G86" s="617"/>
      <c r="H86" s="467">
        <v>64124</v>
      </c>
      <c r="I86" s="477"/>
      <c r="J86" s="477"/>
      <c r="K86" s="1699">
        <f t="shared" ref="K86:K98" si="12">H86</f>
        <v>64124</v>
      </c>
      <c r="L86" s="530">
        <v>64200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71674</v>
      </c>
      <c r="I92" s="477"/>
      <c r="J92" s="477"/>
      <c r="K92" s="1699">
        <f t="shared" si="12"/>
        <v>71674</v>
      </c>
      <c r="L92" s="1692">
        <f>SUM(L85:L91)</f>
        <v>71750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95941</v>
      </c>
      <c r="F102" s="617"/>
      <c r="G102" s="617"/>
      <c r="H102" s="1699">
        <f>SUM(H84,H92,H100,H101)</f>
        <v>72860</v>
      </c>
      <c r="I102" s="477"/>
      <c r="J102" s="477"/>
      <c r="K102" s="1699">
        <f>SUM(K84,K92,K100,K101)</f>
        <v>168801</v>
      </c>
      <c r="L102" s="1699">
        <f>SUM(L84,L92,L100,L101)</f>
        <v>168937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3300585</v>
      </c>
      <c r="D114" s="1692">
        <f t="shared" ref="D114:K114" si="13">SUM(D33,D74,D75,D102,D112,D113)</f>
        <v>791331</v>
      </c>
      <c r="E114" s="1692">
        <f t="shared" si="13"/>
        <v>242844</v>
      </c>
      <c r="F114" s="1692">
        <f t="shared" si="13"/>
        <v>486004</v>
      </c>
      <c r="G114" s="1692">
        <f t="shared" si="13"/>
        <v>60990</v>
      </c>
      <c r="H114" s="1692">
        <f>SUM(H33,H74,H75,H102,H112,H113)</f>
        <v>94167</v>
      </c>
      <c r="I114" s="1692">
        <f t="shared" si="13"/>
        <v>5943</v>
      </c>
      <c r="J114" s="1692">
        <f t="shared" si="13"/>
        <v>0</v>
      </c>
      <c r="K114" s="1692">
        <f t="shared" si="13"/>
        <v>4981864</v>
      </c>
      <c r="L114" s="1692">
        <f>SUM(L33,L74,L75,L102,L112,L113)</f>
        <v>4918429</v>
      </c>
    </row>
    <row r="115" spans="1:14" ht="13.5" thickTop="1" x14ac:dyDescent="0.2">
      <c r="A115" s="2176" t="s">
        <v>1053</v>
      </c>
      <c r="B115" s="2177"/>
      <c r="C115" s="619"/>
      <c r="D115" s="619"/>
      <c r="E115" s="619"/>
      <c r="F115" s="619"/>
      <c r="G115" s="619"/>
      <c r="H115" s="619"/>
      <c r="I115" s="619"/>
      <c r="J115" s="619"/>
      <c r="K115" s="1706">
        <f>'Revenues 9-14'!C275-'Expenditures 15-22'!K114</f>
        <v>150014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179238</v>
      </c>
      <c r="D124" s="466">
        <v>36326</v>
      </c>
      <c r="E124" s="466">
        <v>109209</v>
      </c>
      <c r="F124" s="466">
        <v>64988</v>
      </c>
      <c r="G124" s="466">
        <v>243220</v>
      </c>
      <c r="H124" s="466"/>
      <c r="I124" s="467"/>
      <c r="J124" s="467"/>
      <c r="K124" s="1692">
        <f>SUM(C124:J124)</f>
        <v>632981</v>
      </c>
      <c r="L124" s="466">
        <v>918892</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179238</v>
      </c>
      <c r="D127" s="1692">
        <f t="shared" ref="D127:L127" si="14">SUM(D122:D126)</f>
        <v>36326</v>
      </c>
      <c r="E127" s="1692">
        <f t="shared" si="14"/>
        <v>109209</v>
      </c>
      <c r="F127" s="1692">
        <f t="shared" si="14"/>
        <v>64988</v>
      </c>
      <c r="G127" s="1692">
        <f t="shared" si="14"/>
        <v>243220</v>
      </c>
      <c r="H127" s="1692">
        <f t="shared" si="14"/>
        <v>0</v>
      </c>
      <c r="I127" s="1692">
        <f t="shared" si="14"/>
        <v>0</v>
      </c>
      <c r="J127" s="1692">
        <f t="shared" si="14"/>
        <v>0</v>
      </c>
      <c r="K127" s="1692">
        <f t="shared" si="14"/>
        <v>632981</v>
      </c>
      <c r="L127" s="1692">
        <f t="shared" si="14"/>
        <v>918892</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179238</v>
      </c>
      <c r="D129" s="1699">
        <f t="shared" ref="D129:L129" si="15">SUM(D120,D127,D128)</f>
        <v>36326</v>
      </c>
      <c r="E129" s="1699">
        <f t="shared" si="15"/>
        <v>109209</v>
      </c>
      <c r="F129" s="1699">
        <f t="shared" si="15"/>
        <v>64988</v>
      </c>
      <c r="G129" s="1699">
        <f t="shared" si="15"/>
        <v>243220</v>
      </c>
      <c r="H129" s="1699">
        <f t="shared" si="15"/>
        <v>0</v>
      </c>
      <c r="I129" s="1699">
        <f t="shared" si="15"/>
        <v>0</v>
      </c>
      <c r="J129" s="1699">
        <f t="shared" si="15"/>
        <v>0</v>
      </c>
      <c r="K129" s="1699">
        <f t="shared" si="15"/>
        <v>632981</v>
      </c>
      <c r="L129" s="1699">
        <f t="shared" si="15"/>
        <v>918892</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3" t="s">
        <v>641</v>
      </c>
      <c r="B151" s="2173"/>
      <c r="C151" s="1692">
        <f>SUM(C129,C130,C139,C149,C150)</f>
        <v>179238</v>
      </c>
      <c r="D151" s="1692">
        <f t="shared" ref="D151:K151" si="16">SUM(D129,D130,D139,D149,D150)</f>
        <v>36326</v>
      </c>
      <c r="E151" s="1692">
        <f t="shared" si="16"/>
        <v>109209</v>
      </c>
      <c r="F151" s="1692">
        <f t="shared" si="16"/>
        <v>64988</v>
      </c>
      <c r="G151" s="1692">
        <f t="shared" si="16"/>
        <v>243220</v>
      </c>
      <c r="H151" s="1692">
        <f t="shared" si="16"/>
        <v>0</v>
      </c>
      <c r="I151" s="1692">
        <f t="shared" si="16"/>
        <v>0</v>
      </c>
      <c r="J151" s="1692">
        <f t="shared" si="16"/>
        <v>0</v>
      </c>
      <c r="K151" s="1692">
        <f t="shared" si="16"/>
        <v>632981</v>
      </c>
      <c r="L151" s="1692">
        <f>SUM(L129,L130,L139,L149,L150)</f>
        <v>918892</v>
      </c>
    </row>
    <row r="152" spans="1:14" ht="12.75" customHeight="1" thickTop="1" x14ac:dyDescent="0.2">
      <c r="A152" s="2196" t="s">
        <v>1240</v>
      </c>
      <c r="B152" s="2197"/>
      <c r="C152" s="619"/>
      <c r="D152" s="619"/>
      <c r="E152" s="619"/>
      <c r="F152" s="619"/>
      <c r="G152" s="619"/>
      <c r="H152" s="619"/>
      <c r="I152" s="619"/>
      <c r="J152" s="617"/>
      <c r="K152" s="1706">
        <f>'Revenues 9-14'!D275-'Expenditures 15-22'!K151</f>
        <v>-190176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422771</v>
      </c>
      <c r="I169" s="617"/>
      <c r="J169" s="617"/>
      <c r="K169" s="1693">
        <f>SUM(C169:H169)</f>
        <v>422771</v>
      </c>
      <c r="L169" s="657">
        <v>422771</v>
      </c>
    </row>
    <row r="170" spans="1:14" ht="33.75" customHeight="1" x14ac:dyDescent="0.2">
      <c r="A170" s="670" t="s">
        <v>1769</v>
      </c>
      <c r="B170" s="672" t="s">
        <v>31</v>
      </c>
      <c r="C170" s="617"/>
      <c r="D170" s="617"/>
      <c r="E170" s="617"/>
      <c r="F170" s="617"/>
      <c r="G170" s="617"/>
      <c r="H170" s="569">
        <v>555500</v>
      </c>
      <c r="I170" s="617"/>
      <c r="J170" s="617"/>
      <c r="K170" s="1693">
        <f>SUM(C170:J170)</f>
        <v>555500</v>
      </c>
      <c r="L170" s="569">
        <v>555500</v>
      </c>
    </row>
    <row r="171" spans="1:14" ht="15.75" customHeight="1" x14ac:dyDescent="0.2">
      <c r="A171" s="622" t="s">
        <v>790</v>
      </c>
      <c r="B171" s="673" t="s">
        <v>86</v>
      </c>
      <c r="C171" s="617"/>
      <c r="D171" s="617"/>
      <c r="E171" s="466"/>
      <c r="F171" s="617"/>
      <c r="G171" s="617"/>
      <c r="H171" s="569">
        <v>1542</v>
      </c>
      <c r="I171" s="477"/>
      <c r="J171" s="617"/>
      <c r="K171" s="1693">
        <f>SUM(C171:J171)</f>
        <v>1542</v>
      </c>
      <c r="L171" s="569">
        <v>1552</v>
      </c>
    </row>
    <row r="172" spans="1:14" ht="12.75" customHeight="1" thickBot="1" x14ac:dyDescent="0.25">
      <c r="A172" s="1690" t="s">
        <v>659</v>
      </c>
      <c r="B172" s="1691" t="s">
        <v>513</v>
      </c>
      <c r="C172" s="617"/>
      <c r="D172" s="617"/>
      <c r="E172" s="1699">
        <f>SUM(E168,E169,E170,E171)</f>
        <v>0</v>
      </c>
      <c r="F172" s="617"/>
      <c r="G172" s="617"/>
      <c r="H172" s="1699">
        <f>SUM(H168,H169,H170,H171)</f>
        <v>979813</v>
      </c>
      <c r="I172" s="639"/>
      <c r="J172" s="617"/>
      <c r="K172" s="1699">
        <f>SUM(K168,K169,K170,K171)</f>
        <v>979813</v>
      </c>
      <c r="L172" s="1699">
        <f>SUM(L168,L169,L170,L171)</f>
        <v>979823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979813</v>
      </c>
      <c r="I174" s="639"/>
      <c r="J174" s="617"/>
      <c r="K174" s="1699">
        <f>SUM(K160,K172,K173)</f>
        <v>979813</v>
      </c>
      <c r="L174" s="1699">
        <f>SUM(L160,L172,L173)</f>
        <v>979823</v>
      </c>
    </row>
    <row r="175" spans="1:14" ht="13.5" thickTop="1" x14ac:dyDescent="0.2">
      <c r="A175" s="2176" t="s">
        <v>1053</v>
      </c>
      <c r="B175" s="2177"/>
      <c r="C175" s="617"/>
      <c r="D175" s="617"/>
      <c r="E175" s="617"/>
      <c r="F175" s="617"/>
      <c r="G175" s="617"/>
      <c r="H175" s="619"/>
      <c r="I175" s="617"/>
      <c r="J175" s="617"/>
      <c r="K175" s="1706">
        <f>'Revenues 9-14'!E275-'Expenditures 15-22'!K174</f>
        <v>153381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160834</v>
      </c>
      <c r="D182" s="466">
        <v>1909</v>
      </c>
      <c r="E182" s="466">
        <v>28043</v>
      </c>
      <c r="F182" s="466">
        <v>38298</v>
      </c>
      <c r="G182" s="466">
        <v>137000</v>
      </c>
      <c r="H182" s="466"/>
      <c r="I182" s="467"/>
      <c r="J182" s="467"/>
      <c r="K182" s="1693">
        <f>SUM(C182:J182)</f>
        <v>366084</v>
      </c>
      <c r="L182" s="466">
        <v>231218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160834</v>
      </c>
      <c r="D184" s="1699">
        <f t="shared" ref="D184:J184" si="17">SUM(D180,D182,D183)</f>
        <v>1909</v>
      </c>
      <c r="E184" s="1699">
        <f t="shared" si="17"/>
        <v>28043</v>
      </c>
      <c r="F184" s="1699">
        <f t="shared" si="17"/>
        <v>38298</v>
      </c>
      <c r="G184" s="1699">
        <f t="shared" si="17"/>
        <v>137000</v>
      </c>
      <c r="H184" s="1699">
        <f t="shared" si="17"/>
        <v>0</v>
      </c>
      <c r="I184" s="1699">
        <f t="shared" si="17"/>
        <v>0</v>
      </c>
      <c r="J184" s="1699">
        <f t="shared" si="17"/>
        <v>0</v>
      </c>
      <c r="K184" s="1699">
        <f>SUM(K180,K182,K183)</f>
        <v>366084</v>
      </c>
      <c r="L184" s="1699">
        <f>SUM(L180, L182:L183)</f>
        <v>231218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10</v>
      </c>
    </row>
    <row r="206" spans="1:14" ht="30" customHeight="1" x14ac:dyDescent="0.2">
      <c r="A206" s="682" t="s">
        <v>1770</v>
      </c>
      <c r="B206" s="673" t="s">
        <v>31</v>
      </c>
      <c r="C206" s="617"/>
      <c r="D206" s="617"/>
      <c r="E206" s="617"/>
      <c r="F206" s="617"/>
      <c r="G206" s="617"/>
      <c r="H206" s="466">
        <v>47500</v>
      </c>
      <c r="I206" s="617"/>
      <c r="J206" s="617"/>
      <c r="K206" s="1693">
        <f>SUM(H206)</f>
        <v>47500</v>
      </c>
      <c r="L206" s="466">
        <v>47501</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47500</v>
      </c>
      <c r="I208" s="617"/>
      <c r="J208" s="617"/>
      <c r="K208" s="1699">
        <f>SUM(K204,K205,K206,K207)</f>
        <v>47500</v>
      </c>
      <c r="L208" s="1699">
        <f>SUM(L204,L205,L206,L207)</f>
        <v>47511</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160834</v>
      </c>
      <c r="D210" s="1692">
        <f>SUM(D184,D185)</f>
        <v>1909</v>
      </c>
      <c r="E210" s="1692">
        <f>SUM(E184,E185,E196)</f>
        <v>28043</v>
      </c>
      <c r="F210" s="1692">
        <f>SUM(F184,F185)</f>
        <v>38298</v>
      </c>
      <c r="G210" s="1692">
        <f>SUM(G184,G185)</f>
        <v>137000</v>
      </c>
      <c r="H210" s="1692">
        <f>SUM(H184,H185,H196,H208,H209)</f>
        <v>47500</v>
      </c>
      <c r="I210" s="1692">
        <f>SUM(I184,I185)</f>
        <v>0</v>
      </c>
      <c r="J210" s="1692">
        <f>SUM(J184,J185)</f>
        <v>0</v>
      </c>
      <c r="K210" s="1693">
        <f>SUM(K184,K185,K196,K208,K209)</f>
        <v>413584</v>
      </c>
      <c r="L210" s="1692">
        <f>SUM(L184,L185,L196,L208,L209)</f>
        <v>278729</v>
      </c>
    </row>
    <row r="211" spans="1:14" ht="13.5" thickTop="1" x14ac:dyDescent="0.2">
      <c r="A211" s="2176" t="s">
        <v>1053</v>
      </c>
      <c r="B211" s="2177"/>
      <c r="C211" s="619"/>
      <c r="D211" s="619"/>
      <c r="E211" s="619"/>
      <c r="F211" s="619"/>
      <c r="G211" s="619"/>
      <c r="H211" s="619"/>
      <c r="I211" s="617"/>
      <c r="J211" s="617"/>
      <c r="K211" s="1706">
        <f>'Revenues 9-14'!F275-'Expenditures 15-22'!K210</f>
        <v>-49010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41006</v>
      </c>
      <c r="E215" s="617"/>
      <c r="F215" s="617"/>
      <c r="G215" s="617"/>
      <c r="H215" s="617"/>
      <c r="I215" s="617"/>
      <c r="J215" s="617"/>
      <c r="K215" s="1693">
        <f>D215</f>
        <v>41006</v>
      </c>
      <c r="L215" s="466">
        <v>30460</v>
      </c>
    </row>
    <row r="216" spans="1:14" x14ac:dyDescent="0.2">
      <c r="A216" s="1526" t="s">
        <v>165</v>
      </c>
      <c r="B216" s="615" t="s">
        <v>1024</v>
      </c>
      <c r="C216" s="617"/>
      <c r="D216" s="467"/>
      <c r="E216" s="617"/>
      <c r="F216" s="617"/>
      <c r="G216" s="617"/>
      <c r="H216" s="617"/>
      <c r="I216" s="617"/>
      <c r="J216" s="617"/>
      <c r="K216" s="1693">
        <f t="shared" ref="K216:K228" si="19">D216</f>
        <v>0</v>
      </c>
      <c r="L216" s="466">
        <v>11010</v>
      </c>
    </row>
    <row r="217" spans="1:14" x14ac:dyDescent="0.2">
      <c r="A217" s="1526" t="s">
        <v>166</v>
      </c>
      <c r="B217" s="615">
        <v>1200</v>
      </c>
      <c r="C217" s="617"/>
      <c r="D217" s="466">
        <v>35732</v>
      </c>
      <c r="E217" s="617"/>
      <c r="F217" s="617"/>
      <c r="G217" s="617"/>
      <c r="H217" s="617"/>
      <c r="I217" s="617"/>
      <c r="J217" s="617"/>
      <c r="K217" s="1693">
        <f t="shared" si="19"/>
        <v>35732</v>
      </c>
      <c r="L217" s="466">
        <v>35165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v>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1792</v>
      </c>
      <c r="E222" s="617"/>
      <c r="F222" s="617"/>
      <c r="G222" s="617"/>
      <c r="H222" s="617"/>
      <c r="I222" s="617"/>
      <c r="J222" s="617"/>
      <c r="K222" s="1693">
        <f t="shared" si="19"/>
        <v>1792</v>
      </c>
      <c r="L222" s="466">
        <v>1900</v>
      </c>
    </row>
    <row r="223" spans="1:14" x14ac:dyDescent="0.2">
      <c r="A223" s="1526" t="s">
        <v>1020</v>
      </c>
      <c r="B223" s="615">
        <v>1500</v>
      </c>
      <c r="C223" s="617"/>
      <c r="D223" s="466">
        <v>2766</v>
      </c>
      <c r="E223" s="617"/>
      <c r="F223" s="617"/>
      <c r="G223" s="617"/>
      <c r="H223" s="617"/>
      <c r="I223" s="617"/>
      <c r="J223" s="617"/>
      <c r="K223" s="1693">
        <f t="shared" si="19"/>
        <v>2766</v>
      </c>
      <c r="L223" s="466">
        <v>2776</v>
      </c>
    </row>
    <row r="224" spans="1:14" x14ac:dyDescent="0.2">
      <c r="A224" s="1526" t="s">
        <v>1021</v>
      </c>
      <c r="B224" s="615">
        <v>1600</v>
      </c>
      <c r="C224" s="617"/>
      <c r="D224" s="466"/>
      <c r="E224" s="617"/>
      <c r="F224" s="617"/>
      <c r="G224" s="617"/>
      <c r="H224" s="617"/>
      <c r="I224" s="617"/>
      <c r="J224" s="617"/>
      <c r="K224" s="1693">
        <f t="shared" si="19"/>
        <v>0</v>
      </c>
      <c r="L224" s="466">
        <v>25</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99</v>
      </c>
      <c r="E226" s="617"/>
      <c r="F226" s="617"/>
      <c r="G226" s="617"/>
      <c r="H226" s="617"/>
      <c r="I226" s="617"/>
      <c r="J226" s="617"/>
      <c r="K226" s="1693">
        <f t="shared" si="19"/>
        <v>99</v>
      </c>
      <c r="L226" s="466">
        <v>290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81395</v>
      </c>
      <c r="E229" s="617"/>
      <c r="F229" s="617"/>
      <c r="G229" s="617"/>
      <c r="H229" s="617"/>
      <c r="I229" s="617"/>
      <c r="J229" s="617"/>
      <c r="K229" s="1692">
        <f>SUM(K215:K228)</f>
        <v>81395</v>
      </c>
      <c r="L229" s="1692">
        <f>SUM(L215:L228)</f>
        <v>81627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812</v>
      </c>
      <c r="E233" s="617"/>
      <c r="F233" s="617"/>
      <c r="G233" s="617"/>
      <c r="H233" s="617"/>
      <c r="I233" s="617"/>
      <c r="J233" s="617"/>
      <c r="K233" s="1693">
        <f t="shared" si="20"/>
        <v>812</v>
      </c>
      <c r="L233" s="466">
        <v>800</v>
      </c>
    </row>
    <row r="234" spans="1:12" x14ac:dyDescent="0.2">
      <c r="A234" s="1526" t="s">
        <v>207</v>
      </c>
      <c r="B234" s="615">
        <v>2130</v>
      </c>
      <c r="C234" s="617"/>
      <c r="D234" s="466">
        <v>711</v>
      </c>
      <c r="E234" s="617"/>
      <c r="F234" s="617"/>
      <c r="G234" s="617"/>
      <c r="H234" s="617"/>
      <c r="I234" s="617"/>
      <c r="J234" s="617"/>
      <c r="K234" s="1693">
        <f t="shared" si="20"/>
        <v>711</v>
      </c>
      <c r="L234" s="466">
        <v>720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952</v>
      </c>
      <c r="E236" s="617"/>
      <c r="F236" s="617"/>
      <c r="G236" s="617"/>
      <c r="H236" s="617"/>
      <c r="I236" s="617"/>
      <c r="J236" s="617"/>
      <c r="K236" s="1693">
        <f t="shared" si="20"/>
        <v>952</v>
      </c>
      <c r="L236" s="466">
        <v>952</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2475</v>
      </c>
      <c r="E238" s="617"/>
      <c r="F238" s="617"/>
      <c r="G238" s="617"/>
      <c r="H238" s="617"/>
      <c r="I238" s="617"/>
      <c r="J238" s="617"/>
      <c r="K238" s="1692">
        <f>SUM(K232:K237)</f>
        <v>2475</v>
      </c>
      <c r="L238" s="1692">
        <f>SUM(L232:L237)</f>
        <v>2472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153</v>
      </c>
      <c r="E240" s="617"/>
      <c r="F240" s="617"/>
      <c r="G240" s="617"/>
      <c r="H240" s="617"/>
      <c r="I240" s="617"/>
      <c r="J240" s="617"/>
      <c r="K240" s="1694">
        <f>D240</f>
        <v>153</v>
      </c>
      <c r="L240" s="481">
        <v>154</v>
      </c>
    </row>
    <row r="241" spans="1:12" x14ac:dyDescent="0.2">
      <c r="A241" s="1526" t="s">
        <v>869</v>
      </c>
      <c r="B241" s="615">
        <v>2220</v>
      </c>
      <c r="C241" s="617"/>
      <c r="D241" s="466">
        <v>12795</v>
      </c>
      <c r="E241" s="617"/>
      <c r="F241" s="617"/>
      <c r="G241" s="617"/>
      <c r="H241" s="617"/>
      <c r="I241" s="617"/>
      <c r="J241" s="617"/>
      <c r="K241" s="1694">
        <f>D241</f>
        <v>12795</v>
      </c>
      <c r="L241" s="466">
        <v>12793</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12948</v>
      </c>
      <c r="E243" s="617"/>
      <c r="F243" s="617"/>
      <c r="G243" s="617"/>
      <c r="H243" s="617"/>
      <c r="I243" s="617"/>
      <c r="J243" s="617"/>
      <c r="K243" s="1692">
        <f>SUM(K240:K242)</f>
        <v>12948</v>
      </c>
      <c r="L243" s="1692">
        <f>SUM(L240:L242)</f>
        <v>12947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262</v>
      </c>
      <c r="E245" s="617"/>
      <c r="F245" s="617"/>
      <c r="G245" s="617"/>
      <c r="H245" s="617"/>
      <c r="I245" s="617"/>
      <c r="J245" s="617"/>
      <c r="K245" s="1694">
        <f>D245</f>
        <v>262</v>
      </c>
      <c r="L245" s="481">
        <v>350</v>
      </c>
    </row>
    <row r="246" spans="1:12" x14ac:dyDescent="0.2">
      <c r="A246" s="1526" t="s">
        <v>872</v>
      </c>
      <c r="B246" s="615">
        <v>2320</v>
      </c>
      <c r="C246" s="617"/>
      <c r="D246" s="466">
        <v>4351</v>
      </c>
      <c r="E246" s="617"/>
      <c r="F246" s="617"/>
      <c r="G246" s="617"/>
      <c r="H246" s="617"/>
      <c r="I246" s="617"/>
      <c r="J246" s="617"/>
      <c r="K246" s="1694">
        <f t="shared" ref="K246:K256" si="21">D246</f>
        <v>4351</v>
      </c>
      <c r="L246" s="466">
        <v>4383</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4613</v>
      </c>
      <c r="E257" s="617"/>
      <c r="F257" s="617"/>
      <c r="G257" s="617"/>
      <c r="H257" s="617"/>
      <c r="I257" s="617"/>
      <c r="J257" s="617"/>
      <c r="K257" s="1692">
        <f>SUM(K245:K256)</f>
        <v>4613</v>
      </c>
      <c r="L257" s="1692">
        <f>SUM(L245:L256)</f>
        <v>4733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16928</v>
      </c>
      <c r="E259" s="617"/>
      <c r="F259" s="617"/>
      <c r="G259" s="617"/>
      <c r="H259" s="617"/>
      <c r="I259" s="617"/>
      <c r="J259" s="617"/>
      <c r="K259" s="1694">
        <f>D259</f>
        <v>16928</v>
      </c>
      <c r="L259" s="481">
        <v>16987</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16928</v>
      </c>
      <c r="E261" s="617"/>
      <c r="F261" s="617"/>
      <c r="G261" s="617"/>
      <c r="H261" s="617"/>
      <c r="I261" s="617"/>
      <c r="J261" s="617"/>
      <c r="K261" s="1692">
        <f>SUM(K259:K260)</f>
        <v>16928</v>
      </c>
      <c r="L261" s="1692">
        <f>SUM(L259:L260)</f>
        <v>16987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8631</v>
      </c>
      <c r="E264" s="617"/>
      <c r="F264" s="617"/>
      <c r="G264" s="617"/>
      <c r="H264" s="617"/>
      <c r="I264" s="617"/>
      <c r="J264" s="617"/>
      <c r="K264" s="1694">
        <f t="shared" ref="K264:K269" si="22">D264</f>
        <v>8631</v>
      </c>
      <c r="L264" s="466">
        <v>8500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28885</v>
      </c>
      <c r="E266" s="617"/>
      <c r="F266" s="617"/>
      <c r="G266" s="617"/>
      <c r="H266" s="617"/>
      <c r="I266" s="617"/>
      <c r="J266" s="617"/>
      <c r="K266" s="1694">
        <f t="shared" si="22"/>
        <v>28885</v>
      </c>
      <c r="L266" s="466">
        <v>29100</v>
      </c>
    </row>
    <row r="267" spans="1:14" x14ac:dyDescent="0.2">
      <c r="A267" s="1526" t="s">
        <v>1010</v>
      </c>
      <c r="B267" s="615">
        <v>2550</v>
      </c>
      <c r="C267" s="617"/>
      <c r="D267" s="466">
        <v>14986</v>
      </c>
      <c r="E267" s="617"/>
      <c r="F267" s="617"/>
      <c r="G267" s="617"/>
      <c r="H267" s="617"/>
      <c r="I267" s="617"/>
      <c r="J267" s="617"/>
      <c r="K267" s="1694">
        <f t="shared" si="22"/>
        <v>14986</v>
      </c>
      <c r="L267" s="466">
        <v>15500</v>
      </c>
    </row>
    <row r="268" spans="1:14" x14ac:dyDescent="0.2">
      <c r="A268" s="1526" t="s">
        <v>102</v>
      </c>
      <c r="B268" s="615">
        <v>2560</v>
      </c>
      <c r="C268" s="617"/>
      <c r="D268" s="466">
        <v>12005</v>
      </c>
      <c r="E268" s="617"/>
      <c r="F268" s="617"/>
      <c r="G268" s="617"/>
      <c r="H268" s="617"/>
      <c r="I268" s="617"/>
      <c r="J268" s="617"/>
      <c r="K268" s="1694">
        <f t="shared" si="22"/>
        <v>12005</v>
      </c>
      <c r="L268" s="466">
        <v>12441</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64507</v>
      </c>
      <c r="E270" s="617"/>
      <c r="F270" s="617"/>
      <c r="G270" s="617"/>
      <c r="H270" s="617"/>
      <c r="I270" s="617"/>
      <c r="J270" s="617"/>
      <c r="K270" s="1692">
        <f>SUM(K263:K269)</f>
        <v>64507</v>
      </c>
      <c r="L270" s="1692">
        <f>SUM(L263:L269)</f>
        <v>65541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101471</v>
      </c>
      <c r="E279" s="617"/>
      <c r="F279" s="617"/>
      <c r="G279" s="617"/>
      <c r="H279" s="617"/>
      <c r="I279" s="617"/>
      <c r="J279" s="617"/>
      <c r="K279" s="1699">
        <f>SUM(K238,K243,K257,K261,K270,K277,K278)</f>
        <v>101471</v>
      </c>
      <c r="L279" s="1699">
        <f>SUM(L238,L243,L257,L261,L270,L277,L278)</f>
        <v>102680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92">
        <f>SUM(D229,D279,D280,D285)</f>
        <v>182866</v>
      </c>
      <c r="E295" s="617"/>
      <c r="F295" s="617"/>
      <c r="G295" s="617"/>
      <c r="H295" s="1692">
        <f>H293</f>
        <v>0</v>
      </c>
      <c r="I295" s="617"/>
      <c r="J295" s="617"/>
      <c r="K295" s="1692">
        <f>SUM(K229,K279,K280,K285,K293,K294)</f>
        <v>182866</v>
      </c>
      <c r="L295" s="1692">
        <f>SUM(L229,L279,L280,L285,L293,L294)</f>
        <v>184307</v>
      </c>
    </row>
    <row r="296" spans="1:14" ht="13.5" thickTop="1" x14ac:dyDescent="0.2">
      <c r="A296" s="2176" t="s">
        <v>1053</v>
      </c>
      <c r="B296" s="2177"/>
      <c r="C296" s="617"/>
      <c r="D296" s="619"/>
      <c r="E296" s="617"/>
      <c r="F296" s="617"/>
      <c r="G296" s="617"/>
      <c r="H296" s="688"/>
      <c r="I296" s="617"/>
      <c r="J296" s="617"/>
      <c r="K296" s="1706">
        <f>'Revenues 9-14'!G275-'Expenditures 15-22'!K295</f>
        <v>-4642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35</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35</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35</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36446</v>
      </c>
      <c r="F320" s="467"/>
      <c r="G320" s="467"/>
      <c r="H320" s="467"/>
      <c r="I320" s="467"/>
      <c r="J320" s="467"/>
      <c r="K320" s="1693">
        <f t="shared" ref="K320:K327" si="24">SUM(C320:J320)</f>
        <v>36446</v>
      </c>
      <c r="L320" s="467">
        <v>33200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80</v>
      </c>
      <c r="M321" s="666"/>
      <c r="N321" s="666"/>
    </row>
    <row r="322" spans="1:14" s="675" customFormat="1" x14ac:dyDescent="0.2">
      <c r="A322" s="1541" t="s">
        <v>256</v>
      </c>
      <c r="B322" s="698" t="s">
        <v>302</v>
      </c>
      <c r="C322" s="467"/>
      <c r="D322" s="467"/>
      <c r="E322" s="467">
        <v>79436</v>
      </c>
      <c r="F322" s="467"/>
      <c r="G322" s="467"/>
      <c r="H322" s="467"/>
      <c r="I322" s="467"/>
      <c r="J322" s="467"/>
      <c r="K322" s="1693">
        <f t="shared" si="24"/>
        <v>79436</v>
      </c>
      <c r="L322" s="467">
        <v>79600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115882</v>
      </c>
      <c r="F330" s="1692">
        <f t="shared" si="25"/>
        <v>0</v>
      </c>
      <c r="G330" s="1692">
        <f t="shared" si="25"/>
        <v>0</v>
      </c>
      <c r="H330" s="1692">
        <f t="shared" si="25"/>
        <v>0</v>
      </c>
      <c r="I330" s="1692">
        <f t="shared" si="25"/>
        <v>0</v>
      </c>
      <c r="J330" s="1692">
        <f t="shared" si="25"/>
        <v>0</v>
      </c>
      <c r="K330" s="1692">
        <f>SUM(K319:K329)</f>
        <v>115882</v>
      </c>
      <c r="L330" s="1692">
        <f>SUM(L319:L329)</f>
        <v>112880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115882</v>
      </c>
      <c r="F342" s="1692">
        <f>SUM(F330)</f>
        <v>0</v>
      </c>
      <c r="G342" s="1692">
        <f>SUM(G330)</f>
        <v>0</v>
      </c>
      <c r="H342" s="1692">
        <f>SUM(H330,H334,H340)</f>
        <v>0</v>
      </c>
      <c r="I342" s="1692">
        <f>SUM(I330)</f>
        <v>0</v>
      </c>
      <c r="J342" s="1692">
        <f>SUM(J330)</f>
        <v>0</v>
      </c>
      <c r="K342" s="1692">
        <f>SUM(K330,K334,K340)</f>
        <v>115882</v>
      </c>
      <c r="L342" s="1699">
        <f>SUM(L330,L340,L341)</f>
        <v>112880</v>
      </c>
    </row>
    <row r="343" spans="1:14" ht="12.75" customHeight="1" thickTop="1" x14ac:dyDescent="0.2">
      <c r="A343" s="2189" t="s">
        <v>1053</v>
      </c>
      <c r="B343" s="2190"/>
      <c r="C343" s="617"/>
      <c r="D343" s="617"/>
      <c r="E343" s="617"/>
      <c r="F343" s="617"/>
      <c r="G343" s="617"/>
      <c r="H343" s="617"/>
      <c r="I343" s="617"/>
      <c r="J343" s="617"/>
      <c r="K343" s="1706">
        <f>'Revenues 9-14'!J275-'Expenditures 15-22'!K342</f>
        <v>11079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6794</v>
      </c>
      <c r="F348" s="466"/>
      <c r="G348" s="466"/>
      <c r="H348" s="466"/>
      <c r="I348" s="467"/>
      <c r="J348" s="467"/>
      <c r="K348" s="1693">
        <f>SUM(C348:J348)</f>
        <v>6794</v>
      </c>
      <c r="L348" s="466">
        <v>8000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6794</v>
      </c>
      <c r="F350" s="1692">
        <f t="shared" si="26"/>
        <v>0</v>
      </c>
      <c r="G350" s="1692">
        <f t="shared" si="26"/>
        <v>0</v>
      </c>
      <c r="H350" s="1692">
        <f t="shared" si="26"/>
        <v>0</v>
      </c>
      <c r="I350" s="1692">
        <f t="shared" si="26"/>
        <v>0</v>
      </c>
      <c r="J350" s="1692">
        <f t="shared" si="26"/>
        <v>0</v>
      </c>
      <c r="K350" s="1692">
        <f t="shared" si="26"/>
        <v>6794</v>
      </c>
      <c r="L350" s="1692">
        <f t="shared" si="26"/>
        <v>8000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6794</v>
      </c>
      <c r="F352" s="1692">
        <f t="shared" si="27"/>
        <v>0</v>
      </c>
      <c r="G352" s="1692">
        <f t="shared" si="27"/>
        <v>0</v>
      </c>
      <c r="H352" s="1692">
        <f t="shared" si="27"/>
        <v>0</v>
      </c>
      <c r="I352" s="1692">
        <f t="shared" si="27"/>
        <v>0</v>
      </c>
      <c r="J352" s="1692">
        <f t="shared" si="27"/>
        <v>0</v>
      </c>
      <c r="K352" s="1692">
        <f t="shared" si="27"/>
        <v>6794</v>
      </c>
      <c r="L352" s="1692">
        <f t="shared" si="27"/>
        <v>8000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6794</v>
      </c>
      <c r="F367" s="1692">
        <f t="shared" si="28"/>
        <v>0</v>
      </c>
      <c r="G367" s="1692">
        <f t="shared" si="28"/>
        <v>0</v>
      </c>
      <c r="H367" s="1692">
        <f t="shared" si="28"/>
        <v>0</v>
      </c>
      <c r="I367" s="1692">
        <f t="shared" si="28"/>
        <v>0</v>
      </c>
      <c r="J367" s="1692">
        <f t="shared" si="28"/>
        <v>0</v>
      </c>
      <c r="K367" s="1692">
        <f t="shared" si="28"/>
        <v>6794</v>
      </c>
      <c r="L367" s="1692">
        <f t="shared" si="28"/>
        <v>8000</v>
      </c>
    </row>
    <row r="368" spans="1:14" ht="13.5" thickTop="1" x14ac:dyDescent="0.2">
      <c r="A368" s="2176" t="s">
        <v>1053</v>
      </c>
      <c r="B368" s="2177"/>
      <c r="C368" s="655"/>
      <c r="D368" s="655"/>
      <c r="E368" s="627"/>
      <c r="F368" s="627"/>
      <c r="G368" s="627"/>
      <c r="H368" s="627"/>
      <c r="I368" s="627"/>
      <c r="J368" s="624"/>
      <c r="K368" s="1693">
        <f>'Revenues 9-14'!K275-'Expenditures 15-22'!K367</f>
        <v>30426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14" sqref="C114:D1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3" t="s">
        <v>1905</v>
      </c>
      <c r="B2" s="1550" t="s">
        <v>2035</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1">
        <f>'Revenues 9-14'!C5</f>
        <v>2222733</v>
      </c>
      <c r="C4" s="1546">
        <v>1310519</v>
      </c>
      <c r="D4" s="1774">
        <f>B4-C4</f>
        <v>912214</v>
      </c>
      <c r="E4" s="1546">
        <v>2250568</v>
      </c>
      <c r="F4" s="1774">
        <f>E4-C4</f>
        <v>940049</v>
      </c>
    </row>
    <row r="5" spans="1:6" ht="13.7" customHeight="1" x14ac:dyDescent="0.2">
      <c r="A5" s="716" t="s">
        <v>925</v>
      </c>
      <c r="B5" s="1772">
        <f>'Revenues 9-14'!D5</f>
        <v>419720</v>
      </c>
      <c r="C5" s="585">
        <v>247693</v>
      </c>
      <c r="D5" s="1775">
        <f t="shared" ref="D5:D18" si="0">B5-C5</f>
        <v>172027</v>
      </c>
      <c r="E5" s="585">
        <v>425514</v>
      </c>
      <c r="F5" s="1775">
        <f>E5-C5</f>
        <v>177821</v>
      </c>
    </row>
    <row r="6" spans="1:6" ht="13.7" customHeight="1" x14ac:dyDescent="0.2">
      <c r="A6" s="716" t="s">
        <v>431</v>
      </c>
      <c r="B6" s="1772">
        <f>'Revenues 9-14'!E5</f>
        <v>545134</v>
      </c>
      <c r="C6" s="585">
        <v>347670</v>
      </c>
      <c r="D6" s="1775">
        <f t="shared" si="0"/>
        <v>197464</v>
      </c>
      <c r="E6" s="585">
        <v>596944</v>
      </c>
      <c r="F6" s="1775">
        <f t="shared" ref="F6:F18" si="1">E6-C6</f>
        <v>249274</v>
      </c>
    </row>
    <row r="7" spans="1:6" ht="13.7" customHeight="1" x14ac:dyDescent="0.2">
      <c r="A7" s="716" t="s">
        <v>157</v>
      </c>
      <c r="B7" s="1772">
        <f>'Revenues 9-14'!F5</f>
        <v>191976</v>
      </c>
      <c r="C7" s="585">
        <v>113713</v>
      </c>
      <c r="D7" s="1775">
        <f t="shared" si="0"/>
        <v>78263</v>
      </c>
      <c r="E7" s="585">
        <v>195135</v>
      </c>
      <c r="F7" s="1775">
        <f t="shared" si="1"/>
        <v>81422</v>
      </c>
    </row>
    <row r="8" spans="1:6" ht="13.7" customHeight="1" x14ac:dyDescent="0.2">
      <c r="A8" s="716" t="s">
        <v>1241</v>
      </c>
      <c r="B8" s="1772">
        <f>'Revenues 9-14'!G5</f>
        <v>77834</v>
      </c>
      <c r="C8" s="585">
        <v>49538</v>
      </c>
      <c r="D8" s="1775">
        <f t="shared" si="0"/>
        <v>28296</v>
      </c>
      <c r="E8" s="585">
        <v>85009</v>
      </c>
      <c r="F8" s="1775">
        <f t="shared" si="1"/>
        <v>35471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5786</v>
      </c>
      <c r="C10" s="585">
        <v>3378</v>
      </c>
      <c r="D10" s="1775">
        <f t="shared" si="0"/>
        <v>2408</v>
      </c>
      <c r="E10" s="585">
        <v>5965</v>
      </c>
      <c r="F10" s="1775">
        <f t="shared" si="1"/>
        <v>2587</v>
      </c>
    </row>
    <row r="11" spans="1:6" x14ac:dyDescent="0.2">
      <c r="A11" s="716" t="s">
        <v>429</v>
      </c>
      <c r="B11" s="1772">
        <f>'Revenues 9-14'!J5</f>
        <v>123361</v>
      </c>
      <c r="C11" s="585">
        <v>78811</v>
      </c>
      <c r="D11" s="1775">
        <f t="shared" si="0"/>
        <v>44550</v>
      </c>
      <c r="E11" s="585">
        <v>135480</v>
      </c>
      <c r="F11" s="1775">
        <f t="shared" si="1"/>
        <v>56669</v>
      </c>
    </row>
    <row r="12" spans="1:6" ht="13.7" customHeight="1" x14ac:dyDescent="0.2">
      <c r="A12" s="716" t="s">
        <v>159</v>
      </c>
      <c r="B12" s="1772">
        <f>'Revenues 9-14'!K5</f>
        <v>36593</v>
      </c>
      <c r="C12" s="585">
        <v>21392</v>
      </c>
      <c r="D12" s="1775">
        <f t="shared" si="0"/>
        <v>15201</v>
      </c>
      <c r="E12" s="585">
        <v>36735</v>
      </c>
      <c r="F12" s="1775">
        <f t="shared" si="1"/>
        <v>15343</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46210</v>
      </c>
      <c r="C14" s="585">
        <v>27246</v>
      </c>
      <c r="D14" s="1775">
        <f t="shared" si="0"/>
        <v>18964</v>
      </c>
      <c r="E14" s="585">
        <v>46782</v>
      </c>
      <c r="F14" s="1775">
        <f t="shared" si="1"/>
        <v>19536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87460</v>
      </c>
      <c r="C16" s="585">
        <v>51790</v>
      </c>
      <c r="D16" s="1775">
        <f t="shared" si="0"/>
        <v>35670</v>
      </c>
      <c r="E16" s="585">
        <v>89090</v>
      </c>
      <c r="F16" s="1775">
        <f t="shared" si="1"/>
        <v>37300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3756807</v>
      </c>
      <c r="C19" s="1773">
        <f>SUM(C4:C18)</f>
        <v>2251750</v>
      </c>
      <c r="D19" s="1773">
        <f>SUM(D4:D18)</f>
        <v>1505057</v>
      </c>
      <c r="E19" s="1773">
        <f>SUM(E4:E18)</f>
        <v>3867222</v>
      </c>
      <c r="F19" s="1773">
        <f>SUM(F4:F18)</f>
        <v>1615472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C114" sqref="C114:D11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650</v>
      </c>
      <c r="B1" s="2223"/>
      <c r="C1" s="722"/>
    </row>
    <row r="2" spans="1:7" ht="33.75" x14ac:dyDescent="0.2">
      <c r="A2" s="2230" t="s">
        <v>1905</v>
      </c>
      <c r="B2" s="2231"/>
      <c r="C2" s="1909" t="s">
        <v>2036</v>
      </c>
      <c r="D2" s="724" t="s">
        <v>2043</v>
      </c>
      <c r="E2" s="724" t="s">
        <v>2044</v>
      </c>
      <c r="F2" s="1909" t="s">
        <v>2037</v>
      </c>
    </row>
    <row r="3" spans="1:7" ht="15.75" customHeight="1" x14ac:dyDescent="0.2">
      <c r="A3" s="2232" t="s">
        <v>1176</v>
      </c>
      <c r="B3" s="2233"/>
      <c r="C3" s="2226"/>
      <c r="D3" s="2227"/>
      <c r="E3" s="2227"/>
      <c r="F3" s="2228"/>
    </row>
    <row r="4" spans="1:7" ht="12.75" customHeight="1" thickBot="1" x14ac:dyDescent="0.25">
      <c r="A4" s="2220" t="s">
        <v>651</v>
      </c>
      <c r="B4" s="2221"/>
      <c r="C4" s="581"/>
      <c r="D4" s="581"/>
      <c r="E4" s="581"/>
      <c r="F4" s="1777">
        <f>SUM(C4+D4)-E4</f>
        <v>0</v>
      </c>
    </row>
    <row r="5" spans="1:7" ht="15.75" customHeight="1" thickTop="1" x14ac:dyDescent="0.2">
      <c r="A5" s="2224" t="s">
        <v>1172</v>
      </c>
      <c r="B5" s="2219"/>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6" t="s">
        <v>652</v>
      </c>
      <c r="B15" s="2217"/>
      <c r="C15" s="1777">
        <f>SUM(C6:C14)</f>
        <v>0</v>
      </c>
      <c r="D15" s="1777">
        <f>SUM(D6:D14)</f>
        <v>0</v>
      </c>
      <c r="E15" s="1777">
        <f>SUM(E6:E14)</f>
        <v>0</v>
      </c>
      <c r="F15" s="1777">
        <f>SUM(F6:F14)</f>
        <v>0</v>
      </c>
      <c r="G15" s="552"/>
    </row>
    <row r="16" spans="1:7" s="202" customFormat="1" ht="15.75" customHeight="1" thickTop="1" x14ac:dyDescent="0.2">
      <c r="A16" s="2229" t="s">
        <v>1173</v>
      </c>
      <c r="B16" s="2219"/>
      <c r="C16" s="2213"/>
      <c r="D16" s="2214"/>
      <c r="E16" s="2214"/>
      <c r="F16" s="2215"/>
    </row>
    <row r="17" spans="1:11" ht="12.75" customHeight="1" thickBot="1" x14ac:dyDescent="0.25">
      <c r="A17" s="2211" t="s">
        <v>66</v>
      </c>
      <c r="B17" s="2212"/>
      <c r="C17" s="727"/>
      <c r="D17" s="585"/>
      <c r="E17" s="727"/>
      <c r="F17" s="1777">
        <f>SUM(C17+D17)-E17</f>
        <v>0</v>
      </c>
    </row>
    <row r="18" spans="1:11" ht="12.75" customHeight="1" thickTop="1" thickBot="1" x14ac:dyDescent="0.25">
      <c r="A18" s="2211" t="s">
        <v>6</v>
      </c>
      <c r="B18" s="2212"/>
      <c r="C18" s="727"/>
      <c r="D18" s="585"/>
      <c r="E18" s="727"/>
      <c r="F18" s="1777">
        <f>SUM(C18+D18)-E18</f>
        <v>0</v>
      </c>
    </row>
    <row r="19" spans="1:11" ht="12.75" customHeight="1" thickTop="1" thickBot="1" x14ac:dyDescent="0.25">
      <c r="A19" s="2211" t="s">
        <v>406</v>
      </c>
      <c r="B19" s="2212"/>
      <c r="C19" s="727"/>
      <c r="D19" s="585"/>
      <c r="E19" s="727"/>
      <c r="F19" s="1777">
        <f>SUM(C19+D19)-E19</f>
        <v>0</v>
      </c>
    </row>
    <row r="20" spans="1:11" ht="12.75" customHeight="1" thickTop="1" thickBot="1" x14ac:dyDescent="0.25">
      <c r="A20" s="2211" t="s">
        <v>468</v>
      </c>
      <c r="B20" s="2212"/>
      <c r="C20" s="727"/>
      <c r="D20" s="585"/>
      <c r="E20" s="727"/>
      <c r="F20" s="1777">
        <f>SUM(C20+D20)-E20</f>
        <v>0</v>
      </c>
    </row>
    <row r="21" spans="1:11" ht="14.25" thickTop="1" thickBot="1" x14ac:dyDescent="0.25">
      <c r="A21" s="2216" t="s">
        <v>653</v>
      </c>
      <c r="B21" s="2217"/>
      <c r="C21" s="1777">
        <f>SUM(C17:C20)</f>
        <v>0</v>
      </c>
      <c r="D21" s="1777">
        <f>SUM(D17:D20)</f>
        <v>0</v>
      </c>
      <c r="E21" s="1777">
        <f>SUM(E17:E20)</f>
        <v>0</v>
      </c>
      <c r="F21" s="1777">
        <f>SUM(F17:F20)</f>
        <v>0</v>
      </c>
      <c r="G21" s="552"/>
    </row>
    <row r="22" spans="1:11" ht="15.75" customHeight="1" thickTop="1" x14ac:dyDescent="0.2">
      <c r="A22" s="2218" t="s">
        <v>1174</v>
      </c>
      <c r="B22" s="2219"/>
      <c r="C22" s="2213"/>
      <c r="D22" s="2214"/>
      <c r="E22" s="2214"/>
      <c r="F22" s="2215"/>
    </row>
    <row r="23" spans="1:11" ht="13.5" thickBot="1" x14ac:dyDescent="0.25">
      <c r="A23" s="2220" t="s">
        <v>654</v>
      </c>
      <c r="B23" s="2221"/>
      <c r="C23" s="581"/>
      <c r="D23" s="581"/>
      <c r="E23" s="581"/>
      <c r="F23" s="1777">
        <f>SUM(C23+D23)-E23</f>
        <v>0</v>
      </c>
      <c r="G23" s="552"/>
    </row>
    <row r="24" spans="1:11" ht="15.75" customHeight="1" thickTop="1" x14ac:dyDescent="0.2">
      <c r="A24" s="2218" t="s">
        <v>1175</v>
      </c>
      <c r="B24" s="2219"/>
      <c r="C24" s="2213"/>
      <c r="D24" s="2214"/>
      <c r="E24" s="2214"/>
      <c r="F24" s="2215"/>
    </row>
    <row r="25" spans="1:11" ht="13.5" thickBot="1" x14ac:dyDescent="0.25">
      <c r="A25" s="2220" t="s">
        <v>655</v>
      </c>
      <c r="B25" s="2221"/>
      <c r="C25" s="581"/>
      <c r="D25" s="581"/>
      <c r="E25" s="581"/>
      <c r="F25" s="1777">
        <f>SUM(C25+D25)-E25</f>
        <v>0</v>
      </c>
      <c r="G25" s="552"/>
    </row>
    <row r="26" spans="1:11" ht="15.75" customHeight="1" thickTop="1" x14ac:dyDescent="0.2">
      <c r="A26" s="2224" t="s">
        <v>678</v>
      </c>
      <c r="B26" s="2219"/>
      <c r="C26" s="728"/>
      <c r="D26" s="728"/>
      <c r="E26" s="728"/>
      <c r="F26" s="729"/>
    </row>
    <row r="27" spans="1:11" ht="13.5" thickBot="1" x14ac:dyDescent="0.25">
      <c r="A27" s="2216" t="s">
        <v>1130</v>
      </c>
      <c r="B27" s="2217"/>
      <c r="C27" s="585"/>
      <c r="D27" s="585"/>
      <c r="E27" s="585"/>
      <c r="F27" s="1777">
        <f>SUM(C27+D27)-E27</f>
        <v>0</v>
      </c>
      <c r="G27" s="552"/>
    </row>
    <row r="28" spans="1:11" ht="7.5" customHeight="1" thickTop="1" x14ac:dyDescent="0.2">
      <c r="A28" s="594"/>
    </row>
    <row r="29" spans="1:11" ht="23.25" customHeight="1" x14ac:dyDescent="0.2">
      <c r="A29" s="2222" t="s">
        <v>603</v>
      </c>
      <c r="B29" s="2223"/>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2093</v>
      </c>
      <c r="B31" s="734">
        <v>40505</v>
      </c>
      <c r="C31" s="735">
        <v>6220000</v>
      </c>
      <c r="D31" s="736">
        <v>6</v>
      </c>
      <c r="E31" s="735">
        <v>5505000</v>
      </c>
      <c r="F31" s="735"/>
      <c r="G31" s="735">
        <v>-4725000</v>
      </c>
      <c r="H31" s="735">
        <v>170000</v>
      </c>
      <c r="I31" s="1778">
        <f>((E31+F31)-H31)+G31</f>
        <v>610000</v>
      </c>
      <c r="J31" s="735">
        <v>0</v>
      </c>
      <c r="K31" s="737"/>
    </row>
    <row r="32" spans="1:11" ht="12" customHeight="1" x14ac:dyDescent="0.2">
      <c r="A32" s="733" t="s">
        <v>2095</v>
      </c>
      <c r="B32" s="734">
        <v>42661</v>
      </c>
      <c r="C32" s="735">
        <v>3000000</v>
      </c>
      <c r="D32" s="736">
        <v>3</v>
      </c>
      <c r="E32" s="735">
        <v>2870000</v>
      </c>
      <c r="F32" s="735"/>
      <c r="G32" s="735"/>
      <c r="H32" s="735">
        <v>125000</v>
      </c>
      <c r="I32" s="1778">
        <f>((E32+F32)-H32)+G32</f>
        <v>2745000</v>
      </c>
      <c r="J32" s="735">
        <v>2688356</v>
      </c>
      <c r="K32" s="737"/>
    </row>
    <row r="33" spans="1:11" ht="12" customHeight="1" x14ac:dyDescent="0.2">
      <c r="A33" s="733" t="s">
        <v>2094</v>
      </c>
      <c r="B33" s="734">
        <v>42661</v>
      </c>
      <c r="C33" s="735">
        <v>4650000</v>
      </c>
      <c r="D33" s="736">
        <v>3</v>
      </c>
      <c r="E33" s="735">
        <v>4650000</v>
      </c>
      <c r="F33" s="735"/>
      <c r="G33" s="735"/>
      <c r="H33" s="735"/>
      <c r="I33" s="1778">
        <f t="shared" ref="I33:I48" si="1">((E33+F33)-H33)+G33</f>
        <v>4650000</v>
      </c>
      <c r="J33" s="735">
        <v>4650000</v>
      </c>
      <c r="K33" s="737"/>
    </row>
    <row r="34" spans="1:11" ht="12" customHeight="1" x14ac:dyDescent="0.2">
      <c r="A34" s="733" t="s">
        <v>2096</v>
      </c>
      <c r="B34" s="734">
        <v>42705</v>
      </c>
      <c r="C34" s="735">
        <v>527000</v>
      </c>
      <c r="D34" s="736">
        <v>1</v>
      </c>
      <c r="E34" s="735">
        <v>527000</v>
      </c>
      <c r="F34" s="735"/>
      <c r="G34" s="735"/>
      <c r="H34" s="735">
        <v>260500</v>
      </c>
      <c r="I34" s="1778">
        <f t="shared" si="1"/>
        <v>266500</v>
      </c>
      <c r="J34" s="735">
        <v>266500</v>
      </c>
      <c r="K34" s="738"/>
    </row>
    <row r="35" spans="1:11" ht="12" customHeight="1" x14ac:dyDescent="0.2">
      <c r="A35" s="733" t="s">
        <v>2124</v>
      </c>
      <c r="B35" s="734">
        <v>42917</v>
      </c>
      <c r="C35" s="739">
        <v>137000</v>
      </c>
      <c r="D35" s="736">
        <v>7</v>
      </c>
      <c r="E35" s="739"/>
      <c r="F35" s="739">
        <v>137000</v>
      </c>
      <c r="G35" s="739"/>
      <c r="H35" s="739">
        <v>47500</v>
      </c>
      <c r="I35" s="1778">
        <f t="shared" si="1"/>
        <v>89500</v>
      </c>
      <c r="J35" s="739">
        <v>89500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14534000</v>
      </c>
      <c r="D49" s="746"/>
      <c r="E49" s="1778">
        <f t="shared" ref="E49:J49" si="2">SUM(E31:E48)</f>
        <v>13552000</v>
      </c>
      <c r="F49" s="1778">
        <f t="shared" si="2"/>
        <v>137000</v>
      </c>
      <c r="G49" s="1778">
        <f t="shared" si="2"/>
        <v>-4725000</v>
      </c>
      <c r="H49" s="1778">
        <f t="shared" si="2"/>
        <v>603000</v>
      </c>
      <c r="I49" s="1778">
        <f t="shared" si="2"/>
        <v>8361000</v>
      </c>
      <c r="J49" s="1778">
        <f t="shared" si="2"/>
        <v>7694356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5" t="s">
        <v>605</v>
      </c>
      <c r="C52" s="2206"/>
      <c r="D52" s="2206"/>
      <c r="E52" s="750" t="s">
        <v>900</v>
      </c>
      <c r="F52" s="2207" t="s">
        <v>2125</v>
      </c>
      <c r="G52" s="2208"/>
      <c r="H52" s="737"/>
      <c r="I52" s="737"/>
      <c r="J52" s="747"/>
    </row>
    <row r="53" spans="1:11" ht="11.25" customHeight="1" x14ac:dyDescent="0.2">
      <c r="A53" s="751" t="s">
        <v>969</v>
      </c>
      <c r="B53" s="752" t="s">
        <v>1008</v>
      </c>
      <c r="C53" s="747"/>
      <c r="D53" s="738"/>
      <c r="E53" s="750" t="s">
        <v>518</v>
      </c>
      <c r="F53" s="2209"/>
      <c r="G53" s="2210"/>
      <c r="H53" s="737"/>
      <c r="I53" s="737"/>
      <c r="J53" s="747"/>
    </row>
    <row r="54" spans="1:11" ht="11.25" customHeight="1" x14ac:dyDescent="0.2">
      <c r="A54" s="753" t="s">
        <v>970</v>
      </c>
      <c r="B54" s="748" t="s">
        <v>1009</v>
      </c>
      <c r="C54" s="747"/>
      <c r="D54" s="738"/>
      <c r="E54" s="750" t="s">
        <v>519</v>
      </c>
      <c r="F54" s="2209"/>
      <c r="G54" s="221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114" sqref="C114:D1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52"/>
      <c r="I1" s="761"/>
      <c r="J1" s="433"/>
    </row>
    <row r="2" spans="1:11" ht="26.25" x14ac:dyDescent="0.2">
      <c r="A2" s="2253" t="s">
        <v>1776</v>
      </c>
      <c r="B2" s="2254"/>
      <c r="C2" s="2254"/>
      <c r="D2" s="2254"/>
      <c r="E2" s="2255"/>
      <c r="F2" s="762" t="s">
        <v>960</v>
      </c>
      <c r="G2" s="763" t="s">
        <v>1773</v>
      </c>
      <c r="H2" s="763" t="s">
        <v>430</v>
      </c>
      <c r="I2" s="763" t="s">
        <v>1220</v>
      </c>
      <c r="J2" s="763" t="s">
        <v>1919</v>
      </c>
      <c r="K2" s="763" t="s">
        <v>140</v>
      </c>
    </row>
    <row r="3" spans="1:11" x14ac:dyDescent="0.2">
      <c r="A3" s="2256" t="s">
        <v>1698</v>
      </c>
      <c r="B3" s="2257"/>
      <c r="C3" s="2257"/>
      <c r="D3" s="2257"/>
      <c r="E3" s="2258"/>
      <c r="F3" s="764"/>
      <c r="G3" s="765"/>
      <c r="H3" s="765"/>
      <c r="I3" s="765"/>
      <c r="J3" s="766"/>
      <c r="K3" s="766"/>
    </row>
    <row r="4" spans="1:11" x14ac:dyDescent="0.2">
      <c r="A4" s="2259" t="s">
        <v>387</v>
      </c>
      <c r="B4" s="2260"/>
      <c r="C4" s="2260"/>
      <c r="D4" s="2260"/>
      <c r="E4" s="2206"/>
      <c r="F4" s="767"/>
      <c r="G4" s="768"/>
      <c r="H4" s="769"/>
      <c r="I4" s="768"/>
      <c r="J4" s="770"/>
      <c r="K4" s="770"/>
    </row>
    <row r="5" spans="1:11" x14ac:dyDescent="0.2">
      <c r="A5" s="2237" t="s">
        <v>1129</v>
      </c>
      <c r="B5" s="2238"/>
      <c r="C5" s="2238"/>
      <c r="D5" s="2238"/>
      <c r="E5" s="2239"/>
      <c r="F5" s="771" t="s">
        <v>903</v>
      </c>
      <c r="G5" s="772"/>
      <c r="H5" s="765">
        <v>46210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3350</v>
      </c>
    </row>
    <row r="8" spans="1:11" x14ac:dyDescent="0.2">
      <c r="A8" s="779" t="s">
        <v>363</v>
      </c>
      <c r="B8" s="780"/>
      <c r="C8" s="780"/>
      <c r="D8" s="780"/>
      <c r="E8" s="781"/>
      <c r="F8" s="771" t="s">
        <v>906</v>
      </c>
      <c r="G8" s="783"/>
      <c r="H8" s="783"/>
      <c r="I8" s="783"/>
      <c r="J8" s="766">
        <v>475947</v>
      </c>
      <c r="K8" s="770"/>
    </row>
    <row r="9" spans="1:11" x14ac:dyDescent="0.2">
      <c r="A9" s="779" t="s">
        <v>140</v>
      </c>
      <c r="B9" s="780"/>
      <c r="C9" s="780"/>
      <c r="D9" s="780"/>
      <c r="E9" s="781"/>
      <c r="F9" s="778" t="s">
        <v>908</v>
      </c>
      <c r="G9" s="783"/>
      <c r="H9" s="772"/>
      <c r="I9" s="772"/>
      <c r="J9" s="782"/>
      <c r="K9" s="766">
        <v>13273</v>
      </c>
    </row>
    <row r="10" spans="1:11" x14ac:dyDescent="0.2">
      <c r="A10" s="2237" t="s">
        <v>1920</v>
      </c>
      <c r="B10" s="2238"/>
      <c r="C10" s="2238"/>
      <c r="D10" s="2238"/>
      <c r="E10" s="2240"/>
      <c r="F10" s="784" t="s">
        <v>917</v>
      </c>
      <c r="G10" s="783"/>
      <c r="H10" s="785"/>
      <c r="I10" s="765"/>
      <c r="J10" s="766"/>
      <c r="K10" s="766"/>
    </row>
    <row r="11" spans="1:11" x14ac:dyDescent="0.2">
      <c r="A11" s="2237" t="s">
        <v>162</v>
      </c>
      <c r="B11" s="2238"/>
      <c r="C11" s="2238"/>
      <c r="D11" s="2238"/>
      <c r="E11" s="2239"/>
      <c r="F11" s="771" t="s">
        <v>907</v>
      </c>
      <c r="G11" s="772"/>
      <c r="H11" s="765"/>
      <c r="I11" s="765"/>
      <c r="J11" s="766"/>
      <c r="K11" s="774"/>
    </row>
    <row r="12" spans="1:11" ht="13.5" thickBot="1" x14ac:dyDescent="0.25">
      <c r="A12" s="2264" t="s">
        <v>961</v>
      </c>
      <c r="B12" s="2265"/>
      <c r="C12" s="2265"/>
      <c r="D12" s="2265"/>
      <c r="E12" s="2266"/>
      <c r="F12" s="1779"/>
      <c r="G12" s="1780">
        <f>SUM(G5:G11)</f>
        <v>0</v>
      </c>
      <c r="H12" s="1780">
        <f>SUM(H5:H11)</f>
        <v>46210</v>
      </c>
      <c r="I12" s="1780">
        <f>SUM(I5:I11)</f>
        <v>0</v>
      </c>
      <c r="J12" s="1780">
        <f>SUM(J5:J11)</f>
        <v>475947</v>
      </c>
      <c r="K12" s="1780">
        <f>SUM(K5:K11)</f>
        <v>16623</v>
      </c>
    </row>
    <row r="13" spans="1:11" ht="13.5" thickTop="1" x14ac:dyDescent="0.2">
      <c r="A13" s="2261" t="s">
        <v>388</v>
      </c>
      <c r="B13" s="2262"/>
      <c r="C13" s="2262"/>
      <c r="D13" s="2262"/>
      <c r="E13" s="2263"/>
      <c r="F13" s="786"/>
      <c r="G13" s="787"/>
      <c r="H13" s="788"/>
      <c r="I13" s="789"/>
      <c r="J13" s="789"/>
      <c r="K13" s="789"/>
    </row>
    <row r="14" spans="1:11" x14ac:dyDescent="0.2">
      <c r="A14" s="2244" t="s">
        <v>476</v>
      </c>
      <c r="B14" s="2244"/>
      <c r="C14" s="2244"/>
      <c r="D14" s="2244"/>
      <c r="E14" s="2245"/>
      <c r="F14" s="790" t="s">
        <v>909</v>
      </c>
      <c r="G14" s="783"/>
      <c r="H14" s="765">
        <v>46210</v>
      </c>
      <c r="I14" s="772"/>
      <c r="J14" s="774"/>
      <c r="K14" s="766">
        <v>16623</v>
      </c>
    </row>
    <row r="15" spans="1:11" x14ac:dyDescent="0.2">
      <c r="A15" s="2238" t="s">
        <v>4</v>
      </c>
      <c r="B15" s="2238"/>
      <c r="C15" s="2238"/>
      <c r="D15" s="2238"/>
      <c r="E15" s="2239"/>
      <c r="F15" s="790" t="s">
        <v>910</v>
      </c>
      <c r="G15" s="772"/>
      <c r="H15" s="765"/>
      <c r="I15" s="765"/>
      <c r="J15" s="766">
        <v>475947</v>
      </c>
      <c r="K15" s="766"/>
    </row>
    <row r="16" spans="1:11" x14ac:dyDescent="0.2">
      <c r="A16" s="2238" t="s">
        <v>316</v>
      </c>
      <c r="B16" s="2238"/>
      <c r="C16" s="2238"/>
      <c r="D16" s="2238"/>
      <c r="E16" s="2239"/>
      <c r="F16" s="790" t="s">
        <v>980</v>
      </c>
      <c r="G16" s="773"/>
      <c r="H16" s="768"/>
      <c r="I16" s="768"/>
      <c r="J16" s="770"/>
      <c r="K16" s="770"/>
    </row>
    <row r="17" spans="1:11" x14ac:dyDescent="0.2">
      <c r="A17" s="2269" t="s">
        <v>992</v>
      </c>
      <c r="B17" s="2269"/>
      <c r="C17" s="2269"/>
      <c r="D17" s="2269"/>
      <c r="E17" s="2270"/>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46" t="s">
        <v>1916</v>
      </c>
      <c r="B19" s="2246"/>
      <c r="C19" s="2246"/>
      <c r="D19" s="2246"/>
      <c r="E19" s="2247"/>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67" t="s">
        <v>659</v>
      </c>
      <c r="B21" s="2267"/>
      <c r="C21" s="2267"/>
      <c r="D21" s="2267"/>
      <c r="E21" s="2267"/>
      <c r="F21" s="1781"/>
      <c r="G21" s="793"/>
      <c r="H21" s="797"/>
      <c r="I21" s="797"/>
      <c r="J21" s="1782">
        <f>SUM(J18:J20)</f>
        <v>0</v>
      </c>
      <c r="K21" s="794"/>
    </row>
    <row r="22" spans="1:11" ht="13.5" thickTop="1" x14ac:dyDescent="0.2">
      <c r="A22" s="2238" t="s">
        <v>1922</v>
      </c>
      <c r="B22" s="2238"/>
      <c r="C22" s="2238"/>
      <c r="D22" s="2238"/>
      <c r="E22" s="2239"/>
      <c r="F22" s="790" t="s">
        <v>917</v>
      </c>
      <c r="G22" s="783"/>
      <c r="H22" s="765"/>
      <c r="I22" s="765"/>
      <c r="J22" s="798"/>
      <c r="K22" s="766"/>
    </row>
    <row r="23" spans="1:11" ht="13.5" thickBot="1" x14ac:dyDescent="0.25">
      <c r="A23" s="2268" t="s">
        <v>962</v>
      </c>
      <c r="B23" s="2267"/>
      <c r="C23" s="2267"/>
      <c r="D23" s="2267"/>
      <c r="E23" s="2267"/>
      <c r="F23" s="1783"/>
      <c r="G23" s="1780">
        <f>SUM(G14:G16,G21,G22)</f>
        <v>0</v>
      </c>
      <c r="H23" s="1780">
        <f>SUM(H14:H16,H21,H22)</f>
        <v>46210</v>
      </c>
      <c r="I23" s="1780">
        <f>SUM(I14:I16,I21,I22)</f>
        <v>0</v>
      </c>
      <c r="J23" s="1780">
        <f>SUM(J14:J16,J21,J22)</f>
        <v>475947</v>
      </c>
      <c r="K23" s="1780">
        <f>SUM(K14:K16,K21,K22)</f>
        <v>16623</v>
      </c>
    </row>
    <row r="24" spans="1:11" ht="14.25" thickTop="1" thickBot="1" x14ac:dyDescent="0.25">
      <c r="A24" s="2268" t="s">
        <v>2024</v>
      </c>
      <c r="B24" s="2267"/>
      <c r="C24" s="2267"/>
      <c r="D24" s="2267"/>
      <c r="E24" s="2267"/>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1"/>
      <c r="I31" s="2242"/>
      <c r="J31" s="2242"/>
      <c r="K31" s="2242"/>
    </row>
    <row r="32" spans="1:11" x14ac:dyDescent="0.2">
      <c r="A32" s="810"/>
      <c r="B32" s="237"/>
      <c r="C32" s="237"/>
      <c r="D32" s="237"/>
      <c r="E32" s="806"/>
      <c r="F32" s="812" t="s">
        <v>561</v>
      </c>
      <c r="G32" s="765"/>
      <c r="H32" s="2243"/>
      <c r="I32" s="2242"/>
      <c r="J32" s="2242"/>
      <c r="K32" s="2242"/>
    </row>
    <row r="33" spans="1:11" ht="1.5" customHeight="1" x14ac:dyDescent="0.2">
      <c r="A33" s="813" t="s">
        <v>1231</v>
      </c>
      <c r="B33" s="364"/>
      <c r="C33" s="364"/>
      <c r="D33" s="364"/>
      <c r="E33" s="364"/>
      <c r="F33" s="364"/>
      <c r="G33" s="814"/>
      <c r="H33" s="2243"/>
      <c r="I33" s="2242"/>
      <c r="J33" s="2242"/>
      <c r="K33" s="224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8" t="s">
        <v>562</v>
      </c>
      <c r="B41" s="2251"/>
      <c r="C41" s="2251"/>
      <c r="D41" s="2251"/>
      <c r="E41" s="2251"/>
      <c r="F41" s="225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114" sqref="C114:D1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2033</v>
      </c>
      <c r="B1" s="2274"/>
      <c r="C1" s="2275"/>
      <c r="D1" s="827"/>
      <c r="E1" s="828"/>
      <c r="F1" s="828"/>
      <c r="G1" s="829"/>
      <c r="H1" s="830"/>
      <c r="I1" s="831"/>
      <c r="J1" s="2271"/>
      <c r="K1" s="2272"/>
      <c r="L1" s="227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386397</v>
      </c>
      <c r="D5" s="842"/>
      <c r="E5" s="842"/>
      <c r="F5" s="1782">
        <f>(C5+D5)-E5</f>
        <v>386397</v>
      </c>
      <c r="G5" s="838"/>
      <c r="H5" s="843"/>
      <c r="I5" s="843"/>
      <c r="J5" s="843"/>
      <c r="K5" s="794"/>
      <c r="L5" s="1791">
        <f>F5-K5</f>
        <v>386397</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18908558</v>
      </c>
      <c r="D8" s="845"/>
      <c r="E8" s="845"/>
      <c r="F8" s="1782">
        <f>(C8+D8)-E8</f>
        <v>18908558</v>
      </c>
      <c r="G8" s="844">
        <v>50</v>
      </c>
      <c r="H8" s="766">
        <v>4911372</v>
      </c>
      <c r="I8" s="766">
        <v>377747</v>
      </c>
      <c r="J8" s="766"/>
      <c r="K8" s="1791">
        <f>(H8+I8)-J8</f>
        <v>5289119</v>
      </c>
      <c r="L8" s="1791">
        <f>F8-K8</f>
        <v>13619439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473319</v>
      </c>
      <c r="D10" s="847">
        <v>243220</v>
      </c>
      <c r="E10" s="847"/>
      <c r="F10" s="1786">
        <f>(C10+D10)-E10</f>
        <v>716539</v>
      </c>
      <c r="G10" s="844">
        <v>20</v>
      </c>
      <c r="H10" s="848">
        <v>333596</v>
      </c>
      <c r="I10" s="848">
        <v>27833</v>
      </c>
      <c r="J10" s="848"/>
      <c r="K10" s="1791">
        <f>(H10+I10)-J10</f>
        <v>361429</v>
      </c>
      <c r="L10" s="1791">
        <f>F10-K10</f>
        <v>355110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1637507</v>
      </c>
      <c r="D12" s="845">
        <v>60990</v>
      </c>
      <c r="E12" s="845"/>
      <c r="F12" s="1782">
        <f>(C12+D12)-E12</f>
        <v>1698497</v>
      </c>
      <c r="G12" s="844">
        <v>10</v>
      </c>
      <c r="H12" s="766">
        <v>1512586</v>
      </c>
      <c r="I12" s="766">
        <v>29607</v>
      </c>
      <c r="J12" s="766"/>
      <c r="K12" s="1791">
        <f>(H12+I12)-J12</f>
        <v>1542193</v>
      </c>
      <c r="L12" s="1791">
        <f>F12-K12</f>
        <v>156304</v>
      </c>
    </row>
    <row r="13" spans="1:14" ht="14.25" thickTop="1" thickBot="1" x14ac:dyDescent="0.25">
      <c r="A13" s="849" t="s">
        <v>1184</v>
      </c>
      <c r="B13" s="841">
        <v>252</v>
      </c>
      <c r="C13" s="845">
        <v>937401</v>
      </c>
      <c r="D13" s="845">
        <v>137000</v>
      </c>
      <c r="E13" s="845"/>
      <c r="F13" s="1782">
        <f>(C13+D13)-E13</f>
        <v>1074401</v>
      </c>
      <c r="G13" s="844">
        <v>5</v>
      </c>
      <c r="H13" s="766">
        <v>804192</v>
      </c>
      <c r="I13" s="766">
        <v>46756</v>
      </c>
      <c r="J13" s="766"/>
      <c r="K13" s="1791">
        <f>(H13+I13)-J13</f>
        <v>850948</v>
      </c>
      <c r="L13" s="1791">
        <f>F13-K13</f>
        <v>223453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22343182</v>
      </c>
      <c r="D16" s="1782">
        <f>SUM(D3,D5:D6,D8:D10,D12:D15)</f>
        <v>441210</v>
      </c>
      <c r="E16" s="1782">
        <f>SUM(E3,E5:E6,E8:E10,E12:E15)</f>
        <v>0</v>
      </c>
      <c r="F16" s="1782">
        <f>SUM(F3,F5:F6,F8:F10,F12:F15)</f>
        <v>22784392</v>
      </c>
      <c r="G16" s="844"/>
      <c r="H16" s="1782">
        <f>SUM(H3,H6,H8:H10,H12:H14,)</f>
        <v>7561746</v>
      </c>
      <c r="I16" s="1782">
        <f>SUM(I3,I6,I8:I10,I12:I14,)</f>
        <v>481943</v>
      </c>
      <c r="J16" s="1782">
        <f>SUM(J3,J6,J8:J10,J12:J14,)</f>
        <v>0</v>
      </c>
      <c r="K16" s="1782">
        <f>(H16+I16)-J16</f>
        <v>8043689</v>
      </c>
      <c r="L16" s="1782">
        <f>F16-K16</f>
        <v>14740703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5943</v>
      </c>
      <c r="G17" s="838">
        <v>10</v>
      </c>
      <c r="H17" s="770"/>
      <c r="I17" s="1791">
        <f>F17/G17</f>
        <v>594.29999999999995</v>
      </c>
      <c r="J17" s="770"/>
      <c r="K17" s="796"/>
      <c r="L17" s="796"/>
    </row>
    <row r="18" spans="1:12" ht="14.25" thickTop="1" thickBot="1" x14ac:dyDescent="0.25">
      <c r="A18" s="1789" t="s">
        <v>706</v>
      </c>
      <c r="B18" s="1790"/>
      <c r="C18" s="772"/>
      <c r="D18" s="772"/>
      <c r="E18" s="772"/>
      <c r="F18" s="851"/>
      <c r="G18" s="852"/>
      <c r="H18" s="774"/>
      <c r="I18" s="1782">
        <f>SUM(I16,I17)</f>
        <v>482537.3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114" sqref="C114:D114"/>
      <selection pane="bottomLeft" activeCell="C114" sqref="C114:D11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4981864</v>
      </c>
      <c r="G8" s="866"/>
    </row>
    <row r="9" spans="1:7" x14ac:dyDescent="0.2">
      <c r="A9" s="870" t="s">
        <v>480</v>
      </c>
      <c r="B9" s="871" t="s">
        <v>1988</v>
      </c>
      <c r="C9" s="872"/>
      <c r="D9" s="870" t="s">
        <v>522</v>
      </c>
      <c r="E9" s="869"/>
      <c r="F9" s="1935">
        <f>'Expenditures 15-22'!K151</f>
        <v>632981</v>
      </c>
      <c r="G9" s="873"/>
    </row>
    <row r="10" spans="1:7" x14ac:dyDescent="0.2">
      <c r="A10" s="870" t="s">
        <v>520</v>
      </c>
      <c r="B10" s="871" t="s">
        <v>1989</v>
      </c>
      <c r="C10" s="872"/>
      <c r="D10" s="870" t="s">
        <v>522</v>
      </c>
      <c r="E10" s="869"/>
      <c r="F10" s="1935">
        <f>'Expenditures 15-22'!K174</f>
        <v>979813</v>
      </c>
      <c r="G10" s="873"/>
    </row>
    <row r="11" spans="1:7" x14ac:dyDescent="0.2">
      <c r="A11" s="870" t="s">
        <v>481</v>
      </c>
      <c r="B11" s="871" t="s">
        <v>1990</v>
      </c>
      <c r="C11" s="872"/>
      <c r="D11" s="870" t="s">
        <v>522</v>
      </c>
      <c r="E11" s="869"/>
      <c r="F11" s="1935">
        <f>'Expenditures 15-22'!K210</f>
        <v>413584</v>
      </c>
      <c r="G11" s="873"/>
    </row>
    <row r="12" spans="1:7" x14ac:dyDescent="0.2">
      <c r="A12" s="870" t="s">
        <v>482</v>
      </c>
      <c r="B12" s="871" t="s">
        <v>1991</v>
      </c>
      <c r="C12" s="872"/>
      <c r="D12" s="870" t="s">
        <v>522</v>
      </c>
      <c r="E12" s="869"/>
      <c r="F12" s="1935">
        <f>'Expenditures 15-22'!K295</f>
        <v>182866</v>
      </c>
      <c r="G12" s="873"/>
    </row>
    <row r="13" spans="1:7" x14ac:dyDescent="0.2">
      <c r="A13" s="870" t="s">
        <v>108</v>
      </c>
      <c r="B13" s="871" t="s">
        <v>1992</v>
      </c>
      <c r="C13" s="872"/>
      <c r="D13" s="870" t="s">
        <v>522</v>
      </c>
      <c r="E13" s="869"/>
      <c r="F13" s="1935">
        <f>'Expenditures 15-22'!K342</f>
        <v>115882</v>
      </c>
      <c r="G13" s="874"/>
    </row>
    <row r="14" spans="1:7" ht="12" customHeight="1" thickBot="1" x14ac:dyDescent="0.25">
      <c r="A14" s="1792"/>
      <c r="B14" s="1793"/>
      <c r="C14" s="1794"/>
      <c r="D14" s="1795" t="s">
        <v>522</v>
      </c>
      <c r="E14" s="1796" t="s">
        <v>1015</v>
      </c>
      <c r="F14" s="1797">
        <f>SUM(F8:F13)</f>
        <v>7306990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1041</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168801</v>
      </c>
      <c r="G53" s="866"/>
    </row>
    <row r="54" spans="1:7" x14ac:dyDescent="0.2">
      <c r="A54" s="870" t="s">
        <v>479</v>
      </c>
      <c r="B54" s="870" t="s">
        <v>1552</v>
      </c>
      <c r="C54" s="890" t="s">
        <v>1039</v>
      </c>
      <c r="D54" s="886" t="s">
        <v>1157</v>
      </c>
      <c r="E54" s="869"/>
      <c r="F54" s="1939">
        <f>'Expenditures 15-22'!G114</f>
        <v>60990</v>
      </c>
      <c r="G54" s="866"/>
    </row>
    <row r="55" spans="1:7" x14ac:dyDescent="0.2">
      <c r="A55" s="870" t="s">
        <v>479</v>
      </c>
      <c r="B55" s="870" t="s">
        <v>1553</v>
      </c>
      <c r="C55" s="890" t="s">
        <v>1039</v>
      </c>
      <c r="D55" s="886" t="s">
        <v>309</v>
      </c>
      <c r="E55" s="869"/>
      <c r="F55" s="1939">
        <f>'Expenditures 15-22'!I114</f>
        <v>5943</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243220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555500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47500</v>
      </c>
      <c r="G64" s="866"/>
    </row>
    <row r="65" spans="1:8" x14ac:dyDescent="0.2">
      <c r="A65" s="870" t="s">
        <v>481</v>
      </c>
      <c r="B65" s="870" t="s">
        <v>2001</v>
      </c>
      <c r="C65" s="887" t="s">
        <v>1039</v>
      </c>
      <c r="D65" s="886" t="s">
        <v>1157</v>
      </c>
      <c r="E65" s="869"/>
      <c r="F65" s="1939">
        <f>'Expenditures 15-22'!G210</f>
        <v>137000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1219995</v>
      </c>
      <c r="G76" s="866"/>
    </row>
    <row r="77" spans="1:8" s="894" customFormat="1" ht="12" customHeight="1" thickTop="1" thickBot="1" x14ac:dyDescent="0.25">
      <c r="A77" s="1801"/>
      <c r="B77" s="1798"/>
      <c r="C77" s="1794"/>
      <c r="D77" s="1799" t="s">
        <v>2011</v>
      </c>
      <c r="E77" s="1796"/>
      <c r="F77" s="1802">
        <f>(F14-F76)</f>
        <v>6086995</v>
      </c>
      <c r="G77" s="870"/>
    </row>
    <row r="78" spans="1:8" s="894" customFormat="1" ht="12" customHeight="1" thickTop="1" x14ac:dyDescent="0.2">
      <c r="A78" s="1803"/>
      <c r="B78" s="1798"/>
      <c r="C78" s="1794"/>
      <c r="D78" s="1799" t="s">
        <v>2057</v>
      </c>
      <c r="E78" s="1796"/>
      <c r="F78" s="899">
        <v>609.12</v>
      </c>
      <c r="G78" s="900"/>
      <c r="H78" s="870"/>
    </row>
    <row r="79" spans="1:8" s="894" customFormat="1" ht="12" customHeight="1" thickBot="1" x14ac:dyDescent="0.25">
      <c r="A79" s="1804"/>
      <c r="B79" s="1798"/>
      <c r="C79" s="1794"/>
      <c r="D79" s="1799" t="s">
        <v>2012</v>
      </c>
      <c r="E79" s="1796" t="s">
        <v>1015</v>
      </c>
      <c r="F79" s="1805">
        <f>IF(F78&gt;0,F77/F78," Complete Line 78")</f>
        <v>9993.0965983714214</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101041</v>
      </c>
      <c r="G94" s="913"/>
    </row>
    <row r="95" spans="1:7" x14ac:dyDescent="0.2">
      <c r="A95" s="909" t="s">
        <v>142</v>
      </c>
      <c r="B95" s="909" t="s">
        <v>177</v>
      </c>
      <c r="C95" s="911">
        <v>1700</v>
      </c>
      <c r="D95" s="919" t="str">
        <f>'Revenues 9-14'!A82</f>
        <v>Total District/School Activity Income</v>
      </c>
      <c r="E95" s="907"/>
      <c r="F95" s="1811">
        <f>SUM('Revenues 9-14'!C82,'Revenues 9-14'!D82)</f>
        <v>156527</v>
      </c>
      <c r="G95" s="913"/>
    </row>
    <row r="96" spans="1:7" x14ac:dyDescent="0.2">
      <c r="A96" s="909" t="s">
        <v>479</v>
      </c>
      <c r="B96" s="909" t="s">
        <v>178</v>
      </c>
      <c r="C96" s="911">
        <f>'Revenues 9-14'!B84</f>
        <v>1811</v>
      </c>
      <c r="D96" s="912" t="str">
        <f>'Revenues 9-14'!A84</f>
        <v>Rentals - Regular Textbooks</v>
      </c>
      <c r="E96" s="907"/>
      <c r="F96" s="1811">
        <f>'Revenues 9-14'!C84</f>
        <v>27755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5250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585</v>
      </c>
      <c r="G104" s="913"/>
    </row>
    <row r="105" spans="1:7" x14ac:dyDescent="0.2">
      <c r="A105" s="909" t="s">
        <v>524</v>
      </c>
      <c r="B105" s="909" t="s">
        <v>842</v>
      </c>
      <c r="C105" s="914">
        <v>3100</v>
      </c>
      <c r="D105" s="920" t="str">
        <f>'Revenues 9-14'!A131</f>
        <v>Total Special Education</v>
      </c>
      <c r="E105" s="907"/>
      <c r="F105" s="1811">
        <f>SUM('Revenues 9-14'!C131:D131,'Revenues 9-14'!F131)</f>
        <v>221733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15106</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1042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13273</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168248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89618</v>
      </c>
      <c r="G129" s="931"/>
    </row>
    <row r="130" spans="1:7" x14ac:dyDescent="0.2">
      <c r="A130" s="928" t="s">
        <v>689</v>
      </c>
      <c r="B130" s="928" t="s">
        <v>804</v>
      </c>
      <c r="C130" s="933">
        <v>4300</v>
      </c>
      <c r="D130" s="934" t="str">
        <f>'Revenues 9-14'!A211</f>
        <v>Total Title I</v>
      </c>
      <c r="E130" s="907"/>
      <c r="F130" s="1811">
        <f>SUM('Revenues 9-14'!C211,'Revenues 9-14'!D211,'Revenues 9-14'!F211,'Revenues 9-14'!G211)</f>
        <v>151209</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2872</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108987</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108987</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27263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6132</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33345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67699</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1208435</v>
      </c>
    </row>
    <row r="179" spans="1:7" ht="12" customHeight="1" x14ac:dyDescent="0.2">
      <c r="A179" s="1792"/>
      <c r="B179" s="1806"/>
      <c r="C179" s="1807"/>
      <c r="D179" s="1808" t="s">
        <v>2014</v>
      </c>
      <c r="E179" s="1809"/>
      <c r="F179" s="1811">
        <f>'PCTC-OEPP 27-28'!F77-F178</f>
        <v>4878560</v>
      </c>
    </row>
    <row r="180" spans="1:7" ht="12" customHeight="1" x14ac:dyDescent="0.2">
      <c r="A180" s="1792"/>
      <c r="B180" s="1806"/>
      <c r="C180" s="1807"/>
      <c r="D180" s="1808" t="s">
        <v>1924</v>
      </c>
      <c r="E180" s="1809"/>
      <c r="F180" s="1811">
        <f>'Cap Outlay Deprec 26'!I18</f>
        <v>482537.3</v>
      </c>
    </row>
    <row r="181" spans="1:7" ht="12" customHeight="1" x14ac:dyDescent="0.2">
      <c r="A181" s="1792"/>
      <c r="B181" s="1806"/>
      <c r="C181" s="1807"/>
      <c r="D181" s="1808" t="s">
        <v>2015</v>
      </c>
      <c r="E181" s="1809"/>
      <c r="F181" s="1811">
        <f>F179+F180</f>
        <v>5361097.3</v>
      </c>
    </row>
    <row r="182" spans="1:7" ht="12" customHeight="1" x14ac:dyDescent="0.2">
      <c r="A182" s="1792"/>
      <c r="B182" s="1812"/>
      <c r="C182" s="1807"/>
      <c r="D182" s="1808" t="str">
        <f>D78</f>
        <v>9 Month ADA from District Average Daily Attendance/Prior General State Aid Inquiry 2017-2018</v>
      </c>
      <c r="E182" s="1809"/>
      <c r="F182" s="1813">
        <f>'PCTC-OEPP 27-28'!F78</f>
        <v>609.12</v>
      </c>
      <c r="G182" s="931"/>
    </row>
    <row r="183" spans="1:7" ht="12" customHeight="1" thickBot="1" x14ac:dyDescent="0.25">
      <c r="A183" s="1792"/>
      <c r="B183" s="1812"/>
      <c r="C183" s="1807"/>
      <c r="D183" s="1808" t="s">
        <v>2016</v>
      </c>
      <c r="E183" s="1809" t="s">
        <v>1626</v>
      </c>
      <c r="F183" s="1814">
        <f>F181/F182</f>
        <v>8801.3811728395067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114" sqref="C114:D114"/>
      <selection pane="bottomLeft" activeCell="C114" sqref="C114:D114"/>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2073</v>
      </c>
      <c r="B7" s="2297"/>
      <c r="C7" s="2297"/>
      <c r="D7" s="2297"/>
      <c r="E7" s="2297"/>
      <c r="F7" s="2297"/>
      <c r="G7" s="2298"/>
    </row>
    <row r="8" spans="1:7" ht="15.75" customHeight="1" x14ac:dyDescent="0.25">
      <c r="A8" s="2299" t="s">
        <v>2022</v>
      </c>
      <c r="B8" s="2300"/>
      <c r="C8" s="2300"/>
      <c r="D8" s="2300"/>
      <c r="E8" s="2300"/>
      <c r="F8" s="2300"/>
      <c r="G8" s="2301"/>
    </row>
    <row r="9" spans="1:7" ht="35.25" customHeight="1" x14ac:dyDescent="0.25">
      <c r="A9" s="2296" t="s">
        <v>2076</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2075</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114" sqref="C114:D1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7" t="s">
        <v>1944</v>
      </c>
      <c r="B11" s="2308"/>
      <c r="C11" s="2308"/>
      <c r="D11" s="230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3418298</v>
      </c>
      <c r="F19" s="1822"/>
      <c r="G19" s="1824">
        <f>'Expenditures 15-22'!K33-SUM('Expenditures 15-22'!G33,'Expenditures 15-22'!I33)+'Expenditures 15-22'!D229</f>
        <v>3418298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163351</v>
      </c>
      <c r="F21" s="1825"/>
      <c r="G21" s="1828">
        <f>'Expenditures 15-22'!K42-SUM('Expenditures 15-22'!G42,'Expenditures 15-22'!I42)+'Expenditures 15-22'!K120-SUM('Expenditures 15-22'!G120,'Expenditures 15-22'!I120)+'Expenditures 15-22'!K180-SUM('Expenditures 15-22'!G180,'Expenditures 15-22'!I180)+'Expenditures 15-22'!D238</f>
        <v>163351</v>
      </c>
      <c r="H21" s="988"/>
      <c r="I21" s="162"/>
    </row>
    <row r="22" spans="1:9" s="669" customFormat="1" ht="12" customHeight="1" x14ac:dyDescent="0.2">
      <c r="A22" s="995" t="s">
        <v>585</v>
      </c>
      <c r="B22" s="996"/>
      <c r="C22" s="994">
        <v>2200</v>
      </c>
      <c r="D22" s="1825"/>
      <c r="E22" s="1827">
        <f>'Expenditures 15-22'!K47-SUM('Expenditures 15-22'!G47,'Expenditures 15-22'!I47)+'Expenditures 15-22'!D243</f>
        <v>212019</v>
      </c>
      <c r="F22" s="1825"/>
      <c r="G22" s="1828">
        <f>'Expenditures 15-22'!K47-SUM('Expenditures 15-22'!G47,'Expenditures 15-22'!I47)+'Expenditures 15-22'!D243</f>
        <v>212019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352940</v>
      </c>
      <c r="F23" s="1825"/>
      <c r="G23" s="1827">
        <f>'Expenditures 15-22'!K53-SUM('Expenditures 15-22'!G53,'Expenditures 15-22'!I53)+'Expenditures 15-22'!D257+'Expenditures 15-22'!K330-SUM('Expenditures 15-22'!G330,'Expenditures 15-22'!I330)</f>
        <v>352940</v>
      </c>
      <c r="H23" s="988"/>
      <c r="I23" s="162"/>
    </row>
    <row r="24" spans="1:9" s="669" customFormat="1" ht="12" customHeight="1" x14ac:dyDescent="0.2">
      <c r="A24" s="995" t="s">
        <v>587</v>
      </c>
      <c r="B24" s="996"/>
      <c r="C24" s="994">
        <v>2400</v>
      </c>
      <c r="D24" s="1825"/>
      <c r="E24" s="1827">
        <f>'Expenditures 15-22'!K57-SUM('Expenditures 15-22'!G57,'Expenditures 15-22'!I57)+'Expenditures 15-22'!D261</f>
        <v>472440</v>
      </c>
      <c r="F24" s="1825"/>
      <c r="G24" s="1828">
        <f>'Expenditures 15-22'!K57-SUM('Expenditures 15-22'!G57,'Expenditures 15-22'!I57)+'Expenditures 15-22'!D261</f>
        <v>472440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66649</v>
      </c>
      <c r="E27" s="1827">
        <f>E8</f>
        <v>0</v>
      </c>
      <c r="F27" s="1827">
        <f>'Expenditures 15-22'!K60-SUM('Expenditures 15-22'!G60,'Expenditures 15-22'!I60)+'Expenditures 15-22'!D264-E8</f>
        <v>66649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553522</v>
      </c>
      <c r="F28" s="1829">
        <f>'Expenditures 15-22'!K61-SUM('Expenditures 15-22'!G61,'Expenditures 15-22'!I61)+'Expenditures 15-22'!K124-SUM('Expenditures 15-22'!G124,'Expenditures 15-22'!I124)+'Expenditures 15-22'!D266-E9</f>
        <v>553522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251063</v>
      </c>
      <c r="F29" s="1825"/>
      <c r="G29" s="1828">
        <f>'Expenditures 15-22'!K62-SUM('Expenditures 15-22'!G62,'Expenditures 15-22'!I62)+'Expenditures 15-22'!K125-SUM('Expenditures 15-22'!G125,'Expenditures 15-22'!I125)+'Expenditures 15-22'!K182-SUM('Expenditures 15-22'!G182,'Expenditures 15-22'!I182)+'Expenditures 15-22'!D267</f>
        <v>251063</v>
      </c>
      <c r="H29" s="986"/>
    </row>
    <row r="30" spans="1:9" ht="12" customHeight="1" x14ac:dyDescent="0.2">
      <c r="A30" s="995" t="s">
        <v>102</v>
      </c>
      <c r="B30" s="998"/>
      <c r="C30" s="994">
        <v>2560</v>
      </c>
      <c r="D30" s="1825"/>
      <c r="E30" s="1827">
        <f>'Expenditures 15-22'!K63-SUM('Expenditures 15-22'!G63,'Expenditures 15-22'!I63)+'Expenditures 15-22'!D268-E10</f>
        <v>173441</v>
      </c>
      <c r="F30" s="1825"/>
      <c r="G30" s="1827">
        <f>'Expenditures 15-22'!K63-SUM('Expenditures 15-22'!G63,'Expenditures 15-22'!I63)+'Expenditures 15-22'!D268-E10</f>
        <v>173441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66649</v>
      </c>
      <c r="E41" s="1829">
        <f>SUM(E19:E40)</f>
        <v>5597074</v>
      </c>
      <c r="F41" s="1829">
        <f>SUM(F19:F39)</f>
        <v>620171</v>
      </c>
      <c r="G41" s="1829">
        <f>SUM(G19:G40)</f>
        <v>5043552</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66649</v>
      </c>
      <c r="F43" s="1830" t="s">
        <v>495</v>
      </c>
      <c r="G43" s="1831">
        <f>F41</f>
        <v>620171</v>
      </c>
    </row>
    <row r="44" spans="1:7" ht="12" customHeight="1" x14ac:dyDescent="0.2">
      <c r="A44" s="988"/>
      <c r="B44" s="162"/>
      <c r="C44" s="1002"/>
      <c r="D44" s="1830" t="s">
        <v>494</v>
      </c>
      <c r="E44" s="1831">
        <f>E41</f>
        <v>5597074</v>
      </c>
      <c r="F44" s="1830" t="s">
        <v>494</v>
      </c>
      <c r="G44" s="1831">
        <f>G41</f>
        <v>5043552</v>
      </c>
    </row>
    <row r="45" spans="1:7" ht="12" customHeight="1" x14ac:dyDescent="0.2">
      <c r="A45" s="988"/>
      <c r="B45" s="162"/>
      <c r="C45" s="162"/>
      <c r="D45" s="1832" t="s">
        <v>1063</v>
      </c>
      <c r="E45" s="1833">
        <f>(E43/E44)</f>
        <v>1.1907828983501022E-2</v>
      </c>
      <c r="F45" s="1832" t="s">
        <v>1063</v>
      </c>
      <c r="G45" s="1833">
        <f>(G43/G44)</f>
        <v>0.12296314184923642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C114" sqref="C114:D114"/>
      <selection pane="bottomLeft" activeCell="C114" sqref="C114:D114"/>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4" t="s">
        <v>1446</v>
      </c>
      <c r="B1" s="2324"/>
      <c r="C1" s="2324"/>
      <c r="D1" s="2324"/>
      <c r="E1" s="2324"/>
      <c r="F1" s="2324"/>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5" t="s">
        <v>1627</v>
      </c>
      <c r="B5" s="2326"/>
      <c r="C5" s="2327"/>
      <c r="D5" s="2327"/>
      <c r="E5" s="2327"/>
      <c r="F5" s="2327"/>
    </row>
    <row r="6" spans="1:10" ht="12" customHeight="1" x14ac:dyDescent="0.25">
      <c r="A6" s="1875"/>
      <c r="B6" s="1876"/>
      <c r="C6" s="2328" t="str">
        <f>COVER!A17</f>
        <v>Fisher CUSD 1</v>
      </c>
      <c r="D6" s="2328"/>
      <c r="E6" s="2328"/>
      <c r="F6" s="1877"/>
    </row>
    <row r="7" spans="1:10" ht="11.25" customHeight="1" thickBot="1" x14ac:dyDescent="0.3">
      <c r="A7" s="1875"/>
      <c r="B7" s="1876"/>
      <c r="C7" s="2329">
        <f>COVER!A13</f>
        <v>9010001026</v>
      </c>
      <c r="D7" s="2329"/>
      <c r="E7" s="2329"/>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2098</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2099</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8"/>
      <c r="B39" s="1898"/>
      <c r="C39" s="1898"/>
      <c r="D39" s="1898"/>
      <c r="E39" s="1898"/>
      <c r="F39" s="1898"/>
    </row>
    <row r="40" spans="1:11" s="1895" customFormat="1" ht="12" customHeight="1" x14ac:dyDescent="0.25">
      <c r="A40" s="1899" t="s">
        <v>1458</v>
      </c>
      <c r="B40" s="1900"/>
      <c r="C40" s="2319"/>
      <c r="D40" s="2319"/>
      <c r="E40" s="2319"/>
      <c r="F40" s="2320"/>
      <c r="H40" s="1904"/>
      <c r="I40" s="1904"/>
      <c r="J40" s="1904"/>
      <c r="K40" s="1904"/>
    </row>
    <row r="41" spans="1:11" s="1895" customFormat="1" ht="12" customHeight="1" x14ac:dyDescent="0.25">
      <c r="A41" s="2321"/>
      <c r="B41" s="2322"/>
      <c r="C41" s="2322"/>
      <c r="D41" s="2322"/>
      <c r="E41" s="2322"/>
      <c r="F41" s="2323"/>
      <c r="H41" s="1904"/>
      <c r="I41" s="1904"/>
      <c r="J41" s="1904"/>
      <c r="K41" s="1904"/>
    </row>
    <row r="42" spans="1:11" s="1895" customFormat="1" ht="12" customHeight="1" x14ac:dyDescent="0.25">
      <c r="A42" s="2321"/>
      <c r="B42" s="2322"/>
      <c r="C42" s="2322"/>
      <c r="D42" s="2322"/>
      <c r="E42" s="2322"/>
      <c r="F42" s="2323"/>
      <c r="H42" s="1904"/>
      <c r="I42" s="1904"/>
      <c r="J42" s="1904"/>
      <c r="K42" s="1904"/>
    </row>
    <row r="43" spans="1:11" s="1895" customFormat="1" ht="15" x14ac:dyDescent="0.25">
      <c r="A43" s="2310"/>
      <c r="B43" s="2311"/>
      <c r="C43" s="2311"/>
      <c r="D43" s="2311"/>
      <c r="E43" s="2311"/>
      <c r="F43" s="2312"/>
      <c r="H43" s="1904"/>
      <c r="I43" s="1904"/>
      <c r="J43" s="1904"/>
      <c r="K43" s="1904"/>
    </row>
    <row r="44" spans="1:11" s="1895" customFormat="1" ht="12" hidden="1" customHeight="1" x14ac:dyDescent="0.25">
      <c r="A44" s="2310"/>
      <c r="B44" s="2311"/>
      <c r="C44" s="2311"/>
      <c r="D44" s="2311"/>
      <c r="E44" s="2311"/>
      <c r="F44" s="231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14" sqref="C114:D1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7" t="str">
        <f>COVER!A17</f>
        <v>Fisher CUSD 1</v>
      </c>
      <c r="J6" s="2338"/>
      <c r="Q6" s="1686"/>
    </row>
    <row r="7" spans="1:17" x14ac:dyDescent="0.2">
      <c r="A7" s="2339" t="s">
        <v>924</v>
      </c>
      <c r="B7" s="2340"/>
      <c r="C7" s="2340"/>
      <c r="D7" s="2340"/>
      <c r="E7" s="2341"/>
      <c r="F7" s="1018"/>
      <c r="G7" s="1010"/>
      <c r="H7" s="1017" t="s">
        <v>390</v>
      </c>
      <c r="I7" s="2342">
        <f>COVER!A13</f>
        <v>9010001026</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192211</v>
      </c>
      <c r="F12" s="1040"/>
      <c r="G12" s="1834">
        <f t="shared" ref="G12:G18" si="0">SUM(E12:F12)</f>
        <v>192211</v>
      </c>
      <c r="H12" s="1041">
        <v>201438</v>
      </c>
      <c r="I12" s="1040"/>
      <c r="J12" s="1834">
        <f t="shared" ref="J12:J18" si="1">SUM(H12:I12)</f>
        <v>201438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192211</v>
      </c>
      <c r="F19" s="1836">
        <f t="shared" si="2"/>
        <v>0</v>
      </c>
      <c r="G19" s="1836">
        <f t="shared" si="2"/>
        <v>192211</v>
      </c>
      <c r="H19" s="1836">
        <f t="shared" si="2"/>
        <v>201438</v>
      </c>
      <c r="I19" s="1836">
        <f t="shared" si="2"/>
        <v>0</v>
      </c>
      <c r="J19" s="1836">
        <f t="shared" si="2"/>
        <v>201438</v>
      </c>
    </row>
    <row r="20" spans="1:10" ht="13.5" thickTop="1" x14ac:dyDescent="0.2">
      <c r="A20" s="1036">
        <v>9</v>
      </c>
      <c r="B20" s="2349" t="s">
        <v>1703</v>
      </c>
      <c r="C20" s="2349"/>
      <c r="D20" s="2350"/>
      <c r="E20" s="1047"/>
      <c r="F20" s="1047"/>
      <c r="G20" s="1047"/>
      <c r="H20" s="1047"/>
      <c r="I20" s="1047"/>
      <c r="J20" s="1837">
        <f>IF(AND(G19&gt;0,J19&gt;0),(((J19-G19)/G19)),"Enter Budget Data")</f>
        <v>4.8004536681043229E-2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1943</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58"/>
  <sheetViews>
    <sheetView showGridLines="0" topLeftCell="A7" zoomScale="110" zoomScaleNormal="110" workbookViewId="0">
      <selection activeCell="C114" sqref="C114:D11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8" t="s">
        <v>2100</v>
      </c>
    </row>
    <row r="6" spans="1:2" x14ac:dyDescent="0.2">
      <c r="A6" s="1069"/>
      <c r="B6" s="329" t="s">
        <v>2101</v>
      </c>
    </row>
    <row r="7" spans="1:2" x14ac:dyDescent="0.2">
      <c r="A7" s="1069"/>
    </row>
    <row r="8" spans="1:2" x14ac:dyDescent="0.2">
      <c r="A8" s="1069">
        <v>2</v>
      </c>
      <c r="B8" s="1958" t="s">
        <v>2126</v>
      </c>
    </row>
    <row r="9" spans="1:2" x14ac:dyDescent="0.2">
      <c r="A9" s="1069"/>
      <c r="B9" s="1957" t="s">
        <v>2109</v>
      </c>
    </row>
    <row r="10" spans="1:2" x14ac:dyDescent="0.2">
      <c r="A10" s="1069"/>
      <c r="B10" s="329" t="s">
        <v>2127</v>
      </c>
    </row>
    <row r="11" spans="1:2" x14ac:dyDescent="0.2">
      <c r="A11" s="1069"/>
    </row>
    <row r="12" spans="1:2" x14ac:dyDescent="0.2">
      <c r="A12" s="1069">
        <v>3</v>
      </c>
      <c r="B12" s="1958" t="s">
        <v>2102</v>
      </c>
    </row>
    <row r="13" spans="1:2" x14ac:dyDescent="0.2">
      <c r="A13" s="1069"/>
      <c r="B13" s="1957" t="s">
        <v>2103</v>
      </c>
    </row>
    <row r="14" spans="1:2" x14ac:dyDescent="0.2">
      <c r="A14" s="1069"/>
      <c r="B14" s="1959" t="s">
        <v>2104</v>
      </c>
    </row>
    <row r="15" spans="1:2" x14ac:dyDescent="0.2">
      <c r="A15" s="1069"/>
    </row>
    <row r="16" spans="1:2" x14ac:dyDescent="0.2">
      <c r="A16" s="1069">
        <v>4</v>
      </c>
      <c r="B16" s="1958" t="s">
        <v>2107</v>
      </c>
    </row>
    <row r="17" spans="1:2" x14ac:dyDescent="0.2">
      <c r="A17" s="1069"/>
      <c r="B17" s="1957" t="s">
        <v>2105</v>
      </c>
    </row>
    <row r="18" spans="1:2" x14ac:dyDescent="0.2">
      <c r="A18" s="1069"/>
      <c r="B18" s="329" t="s">
        <v>2106</v>
      </c>
    </row>
    <row r="19" spans="1:2" x14ac:dyDescent="0.2">
      <c r="A19" s="1069"/>
    </row>
    <row r="20" spans="1:2" x14ac:dyDescent="0.2">
      <c r="A20" s="1069">
        <v>5</v>
      </c>
      <c r="B20" s="1958" t="s">
        <v>2108</v>
      </c>
    </row>
    <row r="21" spans="1:2" x14ac:dyDescent="0.2">
      <c r="A21" s="1070"/>
      <c r="B21" s="1957" t="s">
        <v>2109</v>
      </c>
    </row>
    <row r="22" spans="1:2" x14ac:dyDescent="0.2">
      <c r="A22" s="1070"/>
      <c r="B22" s="329" t="s">
        <v>2110</v>
      </c>
    </row>
    <row r="23" spans="1:2" x14ac:dyDescent="0.2">
      <c r="A23" s="1070"/>
    </row>
    <row r="24" spans="1:2" x14ac:dyDescent="0.2">
      <c r="A24" s="1069">
        <v>6</v>
      </c>
      <c r="B24" s="1958" t="s">
        <v>2112</v>
      </c>
    </row>
    <row r="25" spans="1:2" x14ac:dyDescent="0.2">
      <c r="A25" s="1070"/>
      <c r="B25" s="1957" t="s">
        <v>2103</v>
      </c>
    </row>
    <row r="26" spans="1:2" x14ac:dyDescent="0.2">
      <c r="A26" s="1070"/>
      <c r="B26" s="329" t="s">
        <v>2111</v>
      </c>
    </row>
    <row r="27" spans="1:2" x14ac:dyDescent="0.2">
      <c r="A27" s="1070"/>
    </row>
    <row r="28" spans="1:2" x14ac:dyDescent="0.2">
      <c r="A28" s="1069">
        <v>7</v>
      </c>
      <c r="B28" s="1958" t="s">
        <v>2113</v>
      </c>
    </row>
    <row r="29" spans="1:2" x14ac:dyDescent="0.2">
      <c r="A29" s="1070"/>
      <c r="B29" s="1957" t="s">
        <v>2103</v>
      </c>
    </row>
    <row r="30" spans="1:2" x14ac:dyDescent="0.2">
      <c r="A30" s="1070"/>
      <c r="B30" s="329" t="s">
        <v>2114</v>
      </c>
    </row>
    <row r="31" spans="1:2" x14ac:dyDescent="0.2">
      <c r="A31" s="1070"/>
    </row>
    <row r="32" spans="1:2" x14ac:dyDescent="0.2">
      <c r="A32" s="1069">
        <v>8</v>
      </c>
      <c r="B32" s="1958" t="s">
        <v>2115</v>
      </c>
    </row>
    <row r="33" spans="1:2" x14ac:dyDescent="0.2">
      <c r="A33" s="1070"/>
      <c r="B33" s="329" t="s">
        <v>2116</v>
      </c>
    </row>
    <row r="34" spans="1:2" x14ac:dyDescent="0.2">
      <c r="A34" s="1070"/>
    </row>
    <row r="35" spans="1:2" x14ac:dyDescent="0.2">
      <c r="A35" s="1069">
        <v>9</v>
      </c>
      <c r="B35" s="1958" t="s">
        <v>2120</v>
      </c>
    </row>
    <row r="36" spans="1:2" x14ac:dyDescent="0.2">
      <c r="A36" s="1070"/>
      <c r="B36" s="329" t="s">
        <v>2121</v>
      </c>
    </row>
    <row r="37" spans="1:2" x14ac:dyDescent="0.2">
      <c r="A37" s="1070"/>
      <c r="B37" s="329" t="s">
        <v>2122</v>
      </c>
    </row>
    <row r="38" spans="1:2" x14ac:dyDescent="0.2">
      <c r="A38" s="1070"/>
    </row>
    <row r="39" spans="1:2" x14ac:dyDescent="0.2">
      <c r="A39" s="1069">
        <v>10</v>
      </c>
      <c r="B39" s="1958" t="s">
        <v>2117</v>
      </c>
    </row>
    <row r="40" spans="1:2" x14ac:dyDescent="0.2">
      <c r="A40" s="1070"/>
      <c r="B40" s="1957" t="s">
        <v>2128</v>
      </c>
    </row>
    <row r="41" spans="1:2" x14ac:dyDescent="0.2">
      <c r="A41" s="1070"/>
      <c r="B41" s="329" t="s">
        <v>2129</v>
      </c>
    </row>
    <row r="42" spans="1:2" x14ac:dyDescent="0.2">
      <c r="A42" s="1070"/>
      <c r="B42" s="329" t="s">
        <v>2130</v>
      </c>
    </row>
    <row r="43" spans="1:2" x14ac:dyDescent="0.2">
      <c r="A43" s="1070"/>
      <c r="B43" s="1957" t="s">
        <v>2118</v>
      </c>
    </row>
    <row r="44" spans="1:2" x14ac:dyDescent="0.2">
      <c r="A44" s="1070"/>
      <c r="B44" s="329" t="s">
        <v>2119</v>
      </c>
    </row>
    <row r="45" spans="1:2" x14ac:dyDescent="0.2">
      <c r="A45" s="1070"/>
    </row>
    <row r="46" spans="1:2" x14ac:dyDescent="0.2">
      <c r="A46" s="1070"/>
    </row>
    <row r="47" spans="1:2" x14ac:dyDescent="0.2">
      <c r="A47" s="1070"/>
    </row>
    <row r="48" spans="1:2"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c r="B57" s="258" t="str">
        <f>COVER!A17</f>
        <v>Fisher CUSD 1</v>
      </c>
    </row>
    <row r="58" spans="1:2" x14ac:dyDescent="0.2">
      <c r="B58" s="1071">
        <f>COVER!A13</f>
        <v>9010001026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14" sqref="C114:D1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114" sqref="C114:D1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2054</v>
      </c>
      <c r="B4" s="2377"/>
      <c r="C4" s="2377"/>
      <c r="D4" s="2377"/>
      <c r="E4" s="2377"/>
      <c r="F4" s="2378"/>
      <c r="G4" s="1075"/>
      <c r="H4" s="1075"/>
    </row>
    <row r="5" spans="1:8" ht="14.25" customHeight="1" x14ac:dyDescent="0.2">
      <c r="A5" s="2379" t="s">
        <v>2055</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5131878</v>
      </c>
      <c r="C8" s="1838">
        <f>'Acct Summary 7-8'!D8</f>
        <v>442805</v>
      </c>
      <c r="D8" s="1838">
        <f>'Acct Summary 7-8'!F8</f>
        <v>364574</v>
      </c>
      <c r="E8" s="1838">
        <f>'Acct Summary 7-8'!I8</f>
        <v>12287</v>
      </c>
      <c r="F8" s="1838">
        <f>SUM(B8:E8)</f>
        <v>5951544</v>
      </c>
    </row>
    <row r="9" spans="1:8" s="1080" customFormat="1" ht="14.25" customHeight="1" thickBot="1" x14ac:dyDescent="0.25">
      <c r="A9" s="1079" t="s">
        <v>1436</v>
      </c>
      <c r="B9" s="1839">
        <f>'Acct Summary 7-8'!C17</f>
        <v>4981864</v>
      </c>
      <c r="C9" s="1839">
        <f>'Acct Summary 7-8'!D17</f>
        <v>632981</v>
      </c>
      <c r="D9" s="1839">
        <f>'Acct Summary 7-8'!F17</f>
        <v>413584</v>
      </c>
      <c r="E9" s="1838"/>
      <c r="F9" s="1838">
        <f>SUM(B9:E9)</f>
        <v>6028429</v>
      </c>
    </row>
    <row r="10" spans="1:8" s="1080" customFormat="1" ht="14.25" thickTop="1" thickBot="1" x14ac:dyDescent="0.25">
      <c r="A10" s="1081" t="s">
        <v>1437</v>
      </c>
      <c r="B10" s="1840">
        <f>(B8-B9)</f>
        <v>150014</v>
      </c>
      <c r="C10" s="1840">
        <f>(C8-C9)</f>
        <v>-190176</v>
      </c>
      <c r="D10" s="1840">
        <f>(D8-D9)</f>
        <v>-49010</v>
      </c>
      <c r="E10" s="1839">
        <f>(E8-E9)</f>
        <v>12287</v>
      </c>
      <c r="F10" s="1841">
        <f>SUM(F8-F9)</f>
        <v>-76885</v>
      </c>
    </row>
    <row r="11" spans="1:8" s="1080" customFormat="1" ht="14.25" thickTop="1" thickBot="1" x14ac:dyDescent="0.25">
      <c r="A11" s="1082" t="s">
        <v>1785</v>
      </c>
      <c r="B11" s="1842">
        <f>'Acct Summary 7-8'!C81</f>
        <v>3440283</v>
      </c>
      <c r="C11" s="1842">
        <f>'Acct Summary 7-8'!D81</f>
        <v>1521139</v>
      </c>
      <c r="D11" s="1842">
        <f>'Acct Summary 7-8'!F81</f>
        <v>914506</v>
      </c>
      <c r="E11" s="1842">
        <f>'Acct Summary 7-8'!I81</f>
        <v>924748</v>
      </c>
      <c r="F11" s="1843">
        <f>SUM(B11:E11)</f>
        <v>6800676</v>
      </c>
    </row>
    <row r="12" spans="1:8" ht="16.5" customHeight="1" thickTop="1" x14ac:dyDescent="0.2">
      <c r="A12" s="1083"/>
      <c r="B12" s="1084"/>
      <c r="C12" s="2361" t="str">
        <f>IF(AND(F10&lt;0,F11&gt;=0,ABS(F10*3)&gt;ABS(F11)),A16,IF(AND(F10&lt;0,F11&gt;0,ABS(F10*3)&lt;=ABS(F11)),A17,IF(AND(F10&lt;0,F11&lt;0),A16,IF(F11=0,A19,A18))))</f>
        <v>Unbalanced -  however, a deficit reduction plan is not required at this time.</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ERROR!</v>
      </c>
    </row>
    <row r="69" spans="1:4" x14ac:dyDescent="0.2">
      <c r="A69" s="1101"/>
      <c r="B69" s="1111"/>
      <c r="C69" s="1103" t="s">
        <v>2050</v>
      </c>
      <c r="D69" s="1125" t="str">
        <f>IF('Expenditures 15-22'!H170&lt;&gt;'Short-Term Long-Term Debt 24'!H49,"ERROR!","OK")</f>
        <v>ERROR!</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9010001026</v>
      </c>
    </row>
    <row r="3" spans="1:2" x14ac:dyDescent="0.2">
      <c r="A3" t="s">
        <v>1013</v>
      </c>
      <c r="B3" s="138" t="str">
        <f>COVER!A15</f>
        <v>CHAMPAIGN</v>
      </c>
    </row>
    <row r="4" spans="1:2" x14ac:dyDescent="0.2">
      <c r="A4" t="s">
        <v>1064</v>
      </c>
      <c r="B4" s="138" t="str">
        <f>COVER!A17</f>
        <v>Fisher CUSD 1</v>
      </c>
    </row>
    <row r="5" spans="1:2" x14ac:dyDescent="0.2">
      <c r="A5" t="s">
        <v>728</v>
      </c>
      <c r="B5" s="138" t="str">
        <f>COVER!A38</f>
        <v>BARBARA THOMPSON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2441500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3440283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3440283</v>
      </c>
      <c r="D92" s="2" t="str">
        <f t="shared" si="0"/>
        <v>Error?</v>
      </c>
    </row>
    <row r="93" spans="1:4" x14ac:dyDescent="0.2">
      <c r="A93" s="5">
        <v>32</v>
      </c>
      <c r="B93" s="138">
        <f>'Assets-Liab 5-6'!C41</f>
        <v>3440283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1305000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1521139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1521139</v>
      </c>
      <c r="D123" s="2" t="str">
        <f t="shared" si="0"/>
        <v>Error?</v>
      </c>
    </row>
    <row r="124" spans="1:4" x14ac:dyDescent="0.2">
      <c r="A124" s="5">
        <v>63</v>
      </c>
      <c r="B124" s="138">
        <f>'Assets-Liab 5-6'!D41</f>
        <v>1521139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343000</v>
      </c>
      <c r="D129" s="2" t="str">
        <f t="shared" si="1"/>
        <v>Error?</v>
      </c>
    </row>
    <row r="130" spans="1:4" x14ac:dyDescent="0.2">
      <c r="A130" s="5">
        <v>69</v>
      </c>
      <c r="B130" s="138">
        <f>'Assets-Liab 5-6'!E12</f>
        <v>0</v>
      </c>
      <c r="D130" s="2" t="str">
        <f t="shared" si="1"/>
        <v>Error?</v>
      </c>
    </row>
    <row r="131" spans="1:4" x14ac:dyDescent="0.2">
      <c r="A131" s="5">
        <v>70</v>
      </c>
      <c r="B131" s="138">
        <f>'Assets-Liab 5-6'!E13</f>
        <v>666644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666644</v>
      </c>
      <c r="D140" s="2" t="str">
        <f t="shared" si="1"/>
        <v>Error?</v>
      </c>
    </row>
    <row r="141" spans="1:4" x14ac:dyDescent="0.2">
      <c r="A141" s="5">
        <v>80</v>
      </c>
      <c r="B141" s="138">
        <f>'Assets-Liab 5-6'!E41</f>
        <v>666644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750000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914506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914506</v>
      </c>
      <c r="D170" s="2" t="str">
        <f t="shared" si="1"/>
        <v>Error?</v>
      </c>
    </row>
    <row r="171" spans="1:4" x14ac:dyDescent="0.2">
      <c r="A171" s="5">
        <v>110</v>
      </c>
      <c r="B171" s="138">
        <f>'Assets-Liab 5-6'!F41</f>
        <v>914506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97494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97494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533</v>
      </c>
      <c r="D212" s="2" t="str">
        <f t="shared" si="2"/>
        <v>Error?</v>
      </c>
    </row>
    <row r="213" spans="1:4" x14ac:dyDescent="0.2">
      <c r="A213" s="12">
        <v>152</v>
      </c>
      <c r="B213" s="138">
        <f>'Assets-Liab 5-6'!H41</f>
        <v>533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386397</v>
      </c>
      <c r="D273" s="2" t="str">
        <f t="shared" si="3"/>
        <v>Error?</v>
      </c>
    </row>
    <row r="274" spans="1:4" x14ac:dyDescent="0.2">
      <c r="A274" s="5">
        <v>213</v>
      </c>
      <c r="B274" s="138">
        <f>'Assets-Liab 5-6'!M17</f>
        <v>18908558</v>
      </c>
      <c r="D274" s="2" t="str">
        <f t="shared" si="3"/>
        <v>Error?</v>
      </c>
    </row>
    <row r="275" spans="1:4" x14ac:dyDescent="0.2">
      <c r="A275" s="5">
        <v>214</v>
      </c>
      <c r="B275" s="138">
        <f>'Assets-Liab 5-6'!M19</f>
        <v>2772898</v>
      </c>
      <c r="D275" s="2" t="str">
        <f t="shared" si="3"/>
        <v>Error?</v>
      </c>
    </row>
    <row r="276" spans="1:4" x14ac:dyDescent="0.2">
      <c r="A276" s="5">
        <v>215</v>
      </c>
      <c r="B276" s="138" t="e">
        <f>'Assets-Liab 5-6'!#REF!</f>
        <v>#REF!</v>
      </c>
      <c r="D276" s="2" t="e">
        <f t="shared" si="3"/>
        <v>#REF!</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22784392</v>
      </c>
      <c r="C279" s="2" t="s">
        <v>594</v>
      </c>
      <c r="D279" s="2" t="str">
        <f t="shared" si="3"/>
        <v>Error?</v>
      </c>
    </row>
    <row r="280" spans="1:4" x14ac:dyDescent="0.2">
      <c r="A280" s="5">
        <v>219</v>
      </c>
      <c r="B280" s="138">
        <f>'Assets-Liab 5-6'!M40</f>
        <v>22784392</v>
      </c>
      <c r="D280" s="2" t="str">
        <f t="shared" si="3"/>
        <v>Error?</v>
      </c>
    </row>
    <row r="281" spans="1:4" x14ac:dyDescent="0.2">
      <c r="A281" s="5">
        <v>220</v>
      </c>
      <c r="B281" s="138">
        <f>'Assets-Liab 5-6'!M41</f>
        <v>22784392</v>
      </c>
      <c r="C281" s="2" t="s">
        <v>594</v>
      </c>
      <c r="D281" s="2" t="str">
        <f t="shared" si="3"/>
        <v>Error?</v>
      </c>
    </row>
    <row r="282" spans="1:4" x14ac:dyDescent="0.2">
      <c r="A282" s="5">
        <v>221</v>
      </c>
      <c r="B282" s="138">
        <f>'Assets-Liab 5-6'!N21</f>
        <v>666644</v>
      </c>
      <c r="D282" s="2" t="str">
        <f t="shared" si="3"/>
        <v>Error?</v>
      </c>
    </row>
    <row r="283" spans="1:4" x14ac:dyDescent="0.2">
      <c r="A283" s="5">
        <v>222</v>
      </c>
      <c r="B283" s="138">
        <f>'Assets-Liab 5-6'!N22</f>
        <v>7694356</v>
      </c>
      <c r="D283" s="2" t="str">
        <f t="shared" si="3"/>
        <v>Error?</v>
      </c>
    </row>
    <row r="284" spans="1:4" x14ac:dyDescent="0.2">
      <c r="A284" s="5">
        <v>223</v>
      </c>
      <c r="B284" s="138">
        <f>'Assets-Liab 5-6'!N23</f>
        <v>8361000</v>
      </c>
      <c r="C284" s="2" t="s">
        <v>594</v>
      </c>
      <c r="D284" s="2" t="str">
        <f t="shared" si="3"/>
        <v>Error?</v>
      </c>
    </row>
    <row r="285" spans="1:4" x14ac:dyDescent="0.2">
      <c r="A285" s="5">
        <v>224</v>
      </c>
      <c r="B285" s="138">
        <f>'Assets-Liab 5-6'!N36</f>
        <v>8361000</v>
      </c>
      <c r="D285" s="2" t="str">
        <f t="shared" si="3"/>
        <v>Error?</v>
      </c>
    </row>
    <row r="286" spans="1:4" x14ac:dyDescent="0.2">
      <c r="A286" s="10">
        <v>225</v>
      </c>
      <c r="D286" s="2" t="str">
        <f t="shared" si="3"/>
        <v>OK</v>
      </c>
    </row>
    <row r="287" spans="1:4" x14ac:dyDescent="0.2">
      <c r="A287" s="5">
        <v>226</v>
      </c>
      <c r="B287" s="138">
        <f>'Assets-Liab 5-6'!N37</f>
        <v>8361000</v>
      </c>
      <c r="C287" s="2" t="s">
        <v>594</v>
      </c>
      <c r="D287" s="2" t="str">
        <f t="shared" si="3"/>
        <v>Error?</v>
      </c>
    </row>
    <row r="288" spans="1:4" x14ac:dyDescent="0.2">
      <c r="A288" s="5">
        <v>227</v>
      </c>
      <c r="B288" s="138">
        <f>'Assets-Liab 5-6'!N41</f>
        <v>8361000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6499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1679445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121620</v>
      </c>
      <c r="D717" s="2" t="str">
        <f t="shared" si="10"/>
        <v>Error?</v>
      </c>
    </row>
    <row r="718" spans="1:4" x14ac:dyDescent="0.2">
      <c r="A718" s="5">
        <v>657</v>
      </c>
      <c r="B718" s="138">
        <f>'Expenditures 15-22'!C14</f>
        <v>81152</v>
      </c>
      <c r="D718" s="2" t="str">
        <f t="shared" si="10"/>
        <v>Error?</v>
      </c>
    </row>
    <row r="719" spans="1:4" x14ac:dyDescent="0.2">
      <c r="A719" s="5">
        <v>658</v>
      </c>
      <c r="B719" s="138">
        <f>'Expenditures 15-22'!C15</f>
        <v>1041</v>
      </c>
      <c r="D719" s="2" t="str">
        <f t="shared" si="10"/>
        <v>Error?</v>
      </c>
    </row>
    <row r="720" spans="1:4" x14ac:dyDescent="0.2">
      <c r="A720" s="5">
        <v>659</v>
      </c>
      <c r="B720" s="138">
        <f>'Expenditures 15-22'!C33</f>
        <v>2475964</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55190</v>
      </c>
      <c r="D722" s="2" t="str">
        <f t="shared" si="10"/>
        <v>Error?</v>
      </c>
    </row>
    <row r="723" spans="1:4" x14ac:dyDescent="0.2">
      <c r="A723" s="5">
        <v>662</v>
      </c>
      <c r="B723" s="138">
        <f>'Expenditures 15-22'!C38</f>
        <v>9291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57003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121484</v>
      </c>
      <c r="C727" s="2" t="s">
        <v>594</v>
      </c>
      <c r="D727" s="2" t="str">
        <f t="shared" si="10"/>
        <v>Error?</v>
      </c>
    </row>
    <row r="728" spans="1:4" x14ac:dyDescent="0.2">
      <c r="A728" s="5">
        <v>667</v>
      </c>
      <c r="B728" s="138">
        <f>'Expenditures 15-22'!C44</f>
        <v>9925</v>
      </c>
      <c r="D728" s="2" t="str">
        <f t="shared" si="10"/>
        <v>Error?</v>
      </c>
    </row>
    <row r="729" spans="1:4" x14ac:dyDescent="0.2">
      <c r="A729" s="5">
        <v>668</v>
      </c>
      <c r="B729" s="138">
        <f>'Expenditures 15-22'!C45</f>
        <v>128617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138542</v>
      </c>
      <c r="C731" s="2" t="s">
        <v>594</v>
      </c>
      <c r="D731" s="2" t="str">
        <f t="shared" si="10"/>
        <v>Error?</v>
      </c>
    </row>
    <row r="732" spans="1:4" x14ac:dyDescent="0.2">
      <c r="A732" s="5">
        <v>671</v>
      </c>
      <c r="B732" s="138">
        <f>'Expenditures 15-22'!C49</f>
        <v>3335</v>
      </c>
      <c r="D732" s="2" t="str">
        <f t="shared" si="10"/>
        <v>Error?</v>
      </c>
    </row>
    <row r="733" spans="1:4" x14ac:dyDescent="0.2">
      <c r="A733" s="5">
        <v>672</v>
      </c>
      <c r="B733" s="138">
        <f>'Expenditures 15-22'!C50</f>
        <v>141054</v>
      </c>
      <c r="D733" s="2" t="str">
        <f t="shared" si="10"/>
        <v>Error?</v>
      </c>
    </row>
    <row r="734" spans="1:4" x14ac:dyDescent="0.2">
      <c r="A734" s="5">
        <v>673</v>
      </c>
      <c r="B734" s="138">
        <f>'Expenditures 15-22'!C53</f>
        <v>144389</v>
      </c>
      <c r="C734" s="2" t="s">
        <v>594</v>
      </c>
      <c r="D734" s="2" t="str">
        <f t="shared" si="10"/>
        <v>Error?</v>
      </c>
    </row>
    <row r="735" spans="1:4" x14ac:dyDescent="0.2">
      <c r="A735" s="5">
        <v>674</v>
      </c>
      <c r="B735" s="138">
        <f>'Expenditures 15-22'!C55</f>
        <v>307533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307533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46858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65815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112673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824621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3300585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422277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35149</v>
      </c>
      <c r="D775" s="2" t="str">
        <f t="shared" si="11"/>
        <v>Error?</v>
      </c>
    </row>
    <row r="776" spans="1:4" x14ac:dyDescent="0.2">
      <c r="A776" s="5">
        <v>715</v>
      </c>
      <c r="B776" s="138">
        <f>'Expenditures 15-22'!D14</f>
        <v>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602077</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14184</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7991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22175</v>
      </c>
      <c r="C785" s="2" t="s">
        <v>594</v>
      </c>
      <c r="D785" s="2" t="str">
        <f t="shared" si="11"/>
        <v>Error?</v>
      </c>
    </row>
    <row r="786" spans="1:4" x14ac:dyDescent="0.2">
      <c r="A786" s="5">
        <v>725</v>
      </c>
      <c r="B786" s="138">
        <f>'Expenditures 15-22'!D44</f>
        <v>42</v>
      </c>
      <c r="D786" s="2" t="str">
        <f t="shared" si="11"/>
        <v>Error?</v>
      </c>
    </row>
    <row r="787" spans="1:4" x14ac:dyDescent="0.2">
      <c r="A787" s="5">
        <v>726</v>
      </c>
      <c r="B787" s="138">
        <f>'Expenditures 15-22'!D45</f>
        <v>22487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22529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38534</v>
      </c>
      <c r="D791" s="2" t="str">
        <f t="shared" si="11"/>
        <v>Error?</v>
      </c>
    </row>
    <row r="792" spans="1:4" x14ac:dyDescent="0.2">
      <c r="A792" s="5">
        <v>731</v>
      </c>
      <c r="B792" s="138">
        <f>'Expenditures 15-22'!D53</f>
        <v>38534</v>
      </c>
      <c r="C792" s="2" t="s">
        <v>594</v>
      </c>
      <c r="D792" s="2" t="str">
        <f t="shared" si="11"/>
        <v>Error?</v>
      </c>
    </row>
    <row r="793" spans="1:4" x14ac:dyDescent="0.2">
      <c r="A793" s="5">
        <v>732</v>
      </c>
      <c r="B793" s="138">
        <f>'Expenditures 15-22'!D55</f>
        <v>84571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84571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7160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14285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21445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189254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791331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3420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1636</v>
      </c>
      <c r="D833" s="2" t="str">
        <f t="shared" si="12"/>
        <v>Error?</v>
      </c>
    </row>
    <row r="834" spans="1:4" x14ac:dyDescent="0.2">
      <c r="A834" s="5">
        <v>773</v>
      </c>
      <c r="B834" s="138">
        <f>'Expenditures 15-22'!E14</f>
        <v>36612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41668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4453</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11058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15511</v>
      </c>
      <c r="C843" s="2" t="s">
        <v>594</v>
      </c>
      <c r="D843" s="2" t="str">
        <f t="shared" si="12"/>
        <v>Error?</v>
      </c>
    </row>
    <row r="844" spans="1:4" x14ac:dyDescent="0.2">
      <c r="A844" s="5">
        <v>783</v>
      </c>
      <c r="B844" s="138">
        <f>'Expenditures 15-22'!E44</f>
        <v>18537</v>
      </c>
      <c r="D844" s="2" t="str">
        <f t="shared" si="12"/>
        <v>Error?</v>
      </c>
    </row>
    <row r="845" spans="1:4" x14ac:dyDescent="0.2">
      <c r="A845" s="5">
        <v>784</v>
      </c>
      <c r="B845" s="138">
        <f>'Expenditures 15-22'!E45</f>
        <v>728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19265</v>
      </c>
      <c r="C847" s="2" t="s">
        <v>594</v>
      </c>
      <c r="D847" s="2" t="str">
        <f t="shared" si="12"/>
        <v>Error?</v>
      </c>
    </row>
    <row r="848" spans="1:4" x14ac:dyDescent="0.2">
      <c r="A848" s="5">
        <v>787</v>
      </c>
      <c r="B848" s="138">
        <f>'Expenditures 15-22'!E49</f>
        <v>27345</v>
      </c>
      <c r="D848" s="2" t="str">
        <f t="shared" si="12"/>
        <v>Error?</v>
      </c>
    </row>
    <row r="849" spans="1:4" x14ac:dyDescent="0.2">
      <c r="A849" s="5">
        <v>788</v>
      </c>
      <c r="B849" s="138">
        <f>'Expenditures 15-22'!E50</f>
        <v>4792</v>
      </c>
      <c r="D849" s="2" t="str">
        <f t="shared" si="12"/>
        <v>Error?</v>
      </c>
    </row>
    <row r="850" spans="1:4" x14ac:dyDescent="0.2">
      <c r="A850" s="5">
        <v>789</v>
      </c>
      <c r="B850" s="138">
        <f>'Expenditures 15-22'!E53</f>
        <v>32137</v>
      </c>
      <c r="C850" s="2" t="s">
        <v>594</v>
      </c>
      <c r="D850" s="2" t="str">
        <f t="shared" si="12"/>
        <v>Error?</v>
      </c>
    </row>
    <row r="851" spans="1:4" x14ac:dyDescent="0.2">
      <c r="A851" s="5">
        <v>790</v>
      </c>
      <c r="B851" s="138">
        <f>'Expenditures 15-22'!E55</f>
        <v>19861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19861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4000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6256</v>
      </c>
      <c r="D857" s="2" t="str">
        <f t="shared" si="12"/>
        <v>Error?</v>
      </c>
    </row>
    <row r="858" spans="1:4" x14ac:dyDescent="0.2">
      <c r="A858" s="5">
        <v>797</v>
      </c>
      <c r="B858" s="138">
        <f>'Expenditures 15-22'!E63</f>
        <v>8205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18461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105235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242844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111032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12432</v>
      </c>
      <c r="D891" s="2" t="str">
        <f t="shared" si="12"/>
        <v>Error?</v>
      </c>
    </row>
    <row r="892" spans="1:4" x14ac:dyDescent="0.2">
      <c r="A892" s="5">
        <v>831</v>
      </c>
      <c r="B892" s="138">
        <f>'Expenditures 15-22'!F14</f>
        <v>76344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208982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146</v>
      </c>
      <c r="D896" s="2" t="str">
        <f t="shared" si="13"/>
        <v>Error?</v>
      </c>
    </row>
    <row r="897" spans="1:4" x14ac:dyDescent="0.2">
      <c r="A897" s="5">
        <v>836</v>
      </c>
      <c r="B897" s="138">
        <f>'Expenditures 15-22'!F38</f>
        <v>1465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1706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17495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17495</v>
      </c>
      <c r="C905" s="2" t="s">
        <v>594</v>
      </c>
      <c r="D905" s="2" t="str">
        <f t="shared" si="13"/>
        <v>Error?</v>
      </c>
    </row>
    <row r="906" spans="1:4" x14ac:dyDescent="0.2">
      <c r="A906" s="5">
        <v>845</v>
      </c>
      <c r="B906" s="138">
        <f>'Expenditures 15-22'!F49</f>
        <v>3240</v>
      </c>
      <c r="D906" s="2" t="str">
        <f t="shared" si="13"/>
        <v>Error?</v>
      </c>
    </row>
    <row r="907" spans="1:4" x14ac:dyDescent="0.2">
      <c r="A907" s="5">
        <v>846</v>
      </c>
      <c r="B907" s="138">
        <f>'Expenditures 15-22'!F50</f>
        <v>3867</v>
      </c>
      <c r="D907" s="2" t="str">
        <f t="shared" si="13"/>
        <v>Error?</v>
      </c>
    </row>
    <row r="908" spans="1:4" x14ac:dyDescent="0.2">
      <c r="A908" s="5">
        <v>847</v>
      </c>
      <c r="B908" s="138">
        <f>'Expenditures 15-22'!F53</f>
        <v>7107</v>
      </c>
      <c r="C908" s="2" t="s">
        <v>594</v>
      </c>
      <c r="D908" s="2" t="str">
        <f t="shared" si="13"/>
        <v>Error?</v>
      </c>
    </row>
    <row r="909" spans="1:4" x14ac:dyDescent="0.2">
      <c r="A909" s="5">
        <v>848</v>
      </c>
      <c r="B909" s="138">
        <f>'Expenditures 15-22'!F55</f>
        <v>41970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41970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134876</v>
      </c>
      <c r="D914" s="2" t="str">
        <f t="shared" si="13"/>
        <v>Error?</v>
      </c>
    </row>
    <row r="915" spans="1:4" x14ac:dyDescent="0.2">
      <c r="A915" s="5">
        <v>854</v>
      </c>
      <c r="B915" s="138">
        <f>'Expenditures 15-22'!F62</f>
        <v>737</v>
      </c>
      <c r="D915" s="2" t="str">
        <f t="shared" si="13"/>
        <v>Error?</v>
      </c>
    </row>
    <row r="916" spans="1:4" x14ac:dyDescent="0.2">
      <c r="A916" s="5">
        <v>855</v>
      </c>
      <c r="B916" s="138">
        <f>'Expenditures 15-22'!F63</f>
        <v>73131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208744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277022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486004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57971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1264</v>
      </c>
      <c r="D949" s="2" t="str">
        <f t="shared" si="13"/>
        <v>Error?</v>
      </c>
    </row>
    <row r="950" spans="1:4" x14ac:dyDescent="0.2">
      <c r="A950" s="5">
        <v>889</v>
      </c>
      <c r="B950" s="138">
        <f>'Expenditures 15-22'!G14</f>
        <v>925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60160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830</v>
      </c>
      <c r="D965" s="2" t="str">
        <f t="shared" si="14"/>
        <v>Error?</v>
      </c>
    </row>
    <row r="966" spans="1:4" x14ac:dyDescent="0.2">
      <c r="A966" s="5">
        <v>905</v>
      </c>
      <c r="B966" s="138">
        <f>'Expenditures 15-22'!G53</f>
        <v>830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830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60990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7958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8212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1240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1240</v>
      </c>
      <c r="C1021" s="2" t="s">
        <v>594</v>
      </c>
      <c r="D1021" s="2" t="str">
        <f t="shared" si="14"/>
        <v>Error?</v>
      </c>
    </row>
    <row r="1022" spans="1:4" x14ac:dyDescent="0.2">
      <c r="A1022" s="5">
        <v>961</v>
      </c>
      <c r="B1022" s="138">
        <f>'Expenditures 15-22'!H49</f>
        <v>7144</v>
      </c>
      <c r="D1022" s="2" t="str">
        <f t="shared" si="14"/>
        <v>Error?</v>
      </c>
    </row>
    <row r="1023" spans="1:4" x14ac:dyDescent="0.2">
      <c r="A1023" s="5">
        <v>962</v>
      </c>
      <c r="B1023" s="138">
        <f>'Expenditures 15-22'!H50</f>
        <v>3134</v>
      </c>
      <c r="D1023" s="2" t="str">
        <f t="shared" ref="D1023:D1086" si="15">IF(ISBLANK(B1023),"OK",IF(A1023-B1023=0,"OK","Error?"))</f>
        <v>Error?</v>
      </c>
    </row>
    <row r="1024" spans="1:4" x14ac:dyDescent="0.2">
      <c r="A1024" s="5">
        <v>963</v>
      </c>
      <c r="B1024" s="138">
        <f>'Expenditures 15-22'!H53</f>
        <v>10278</v>
      </c>
      <c r="C1024" s="2" t="s">
        <v>594</v>
      </c>
      <c r="D1024" s="2" t="str">
        <f t="shared" si="15"/>
        <v>Error?</v>
      </c>
    </row>
    <row r="1025" spans="1:4" x14ac:dyDescent="0.2">
      <c r="A1025" s="5">
        <v>964</v>
      </c>
      <c r="B1025" s="138">
        <f>'Expenditures 15-22'!H55</f>
        <v>1577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1577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13095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72860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94167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2274399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172101</v>
      </c>
      <c r="C1105" s="2" t="s">
        <v>594</v>
      </c>
      <c r="D1105" s="2" t="str">
        <f t="shared" si="16"/>
        <v>Error?</v>
      </c>
    </row>
    <row r="1106" spans="1:4" x14ac:dyDescent="0.2">
      <c r="A1106" s="5">
        <v>1045</v>
      </c>
      <c r="B1106" s="138">
        <f>'Expenditures 15-22'!K14</f>
        <v>203029</v>
      </c>
      <c r="C1106" s="2" t="s">
        <v>594</v>
      </c>
      <c r="D1106" s="2" t="str">
        <f t="shared" si="16"/>
        <v>Error?</v>
      </c>
    </row>
    <row r="1107" spans="1:4" x14ac:dyDescent="0.2">
      <c r="A1107" s="5">
        <v>1046</v>
      </c>
      <c r="B1107" s="138">
        <f>'Expenditures 15-22'!K15</f>
        <v>1041</v>
      </c>
      <c r="C1107" s="2" t="s">
        <v>594</v>
      </c>
      <c r="D1107" s="2" t="str">
        <f t="shared" si="16"/>
        <v>Error?</v>
      </c>
    </row>
    <row r="1108" spans="1:4" x14ac:dyDescent="0.2">
      <c r="A1108" s="5">
        <v>1047</v>
      </c>
      <c r="B1108" s="138">
        <f>'Expenditures 15-22'!K33</f>
        <v>3403006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73973</v>
      </c>
      <c r="C1110" s="2" t="s">
        <v>594</v>
      </c>
      <c r="D1110" s="2" t="str">
        <f t="shared" si="16"/>
        <v>Error?</v>
      </c>
    </row>
    <row r="1111" spans="1:4" x14ac:dyDescent="0.2">
      <c r="A1111" s="5">
        <v>1050</v>
      </c>
      <c r="B1111" s="138">
        <f>'Expenditures 15-22'!K38</f>
        <v>10756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76147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160876</v>
      </c>
      <c r="C1115" s="2" t="s">
        <v>594</v>
      </c>
      <c r="D1115" s="2" t="str">
        <f t="shared" si="16"/>
        <v>Error?</v>
      </c>
    </row>
    <row r="1116" spans="1:4" x14ac:dyDescent="0.2">
      <c r="A1116" s="5">
        <v>1055</v>
      </c>
      <c r="B1116" s="138">
        <f>'Expenditures 15-22'!K44</f>
        <v>28504</v>
      </c>
      <c r="C1116" s="2" t="s">
        <v>594</v>
      </c>
      <c r="D1116" s="2" t="str">
        <f t="shared" si="16"/>
        <v>Error?</v>
      </c>
    </row>
    <row r="1117" spans="1:4" x14ac:dyDescent="0.2">
      <c r="A1117" s="5">
        <v>1056</v>
      </c>
      <c r="B1117" s="138">
        <f>'Expenditures 15-22'!K45</f>
        <v>170567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199071</v>
      </c>
      <c r="C1119" s="2" t="s">
        <v>594</v>
      </c>
      <c r="D1119" s="2" t="str">
        <f t="shared" si="16"/>
        <v>Error?</v>
      </c>
    </row>
    <row r="1120" spans="1:4" x14ac:dyDescent="0.2">
      <c r="A1120" s="5">
        <v>1059</v>
      </c>
      <c r="B1120" s="138">
        <f>'Expenditures 15-22'!K49</f>
        <v>41064</v>
      </c>
      <c r="C1120" s="2" t="s">
        <v>594</v>
      </c>
      <c r="D1120" s="2" t="str">
        <f t="shared" si="16"/>
        <v>Error?</v>
      </c>
    </row>
    <row r="1121" spans="1:4" x14ac:dyDescent="0.2">
      <c r="A1121" s="5">
        <v>1060</v>
      </c>
      <c r="B1121" s="138">
        <f>'Expenditures 15-22'!K50</f>
        <v>192211</v>
      </c>
      <c r="C1121" s="2" t="s">
        <v>594</v>
      </c>
      <c r="D1121" s="2" t="str">
        <f t="shared" si="16"/>
        <v>Error?</v>
      </c>
    </row>
    <row r="1122" spans="1:4" x14ac:dyDescent="0.2">
      <c r="A1122" s="5">
        <v>1061</v>
      </c>
      <c r="B1122" s="138">
        <f>'Expenditures 15-22'!K53</f>
        <v>233275</v>
      </c>
      <c r="C1122" s="2" t="s">
        <v>594</v>
      </c>
      <c r="D1122" s="2" t="str">
        <f t="shared" si="16"/>
        <v>Error?</v>
      </c>
    </row>
    <row r="1123" spans="1:4" x14ac:dyDescent="0.2">
      <c r="A1123" s="5">
        <v>1062</v>
      </c>
      <c r="B1123" s="138">
        <f>'Expenditures 15-22'!K55</f>
        <v>455512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455512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58018</v>
      </c>
      <c r="C1127" s="2" t="s">
        <v>594</v>
      </c>
      <c r="D1127" s="2" t="str">
        <f t="shared" si="16"/>
        <v>Error?</v>
      </c>
    </row>
    <row r="1128" spans="1:4" x14ac:dyDescent="0.2">
      <c r="A1128" s="5">
        <v>1067</v>
      </c>
      <c r="B1128" s="138">
        <f>'Expenditures 15-22'!K61</f>
        <v>134876</v>
      </c>
      <c r="C1128" s="2" t="s">
        <v>594</v>
      </c>
      <c r="D1128" s="2" t="str">
        <f t="shared" si="16"/>
        <v>Error?</v>
      </c>
    </row>
    <row r="1129" spans="1:4" x14ac:dyDescent="0.2">
      <c r="A1129" s="5">
        <v>1068</v>
      </c>
      <c r="B1129" s="138">
        <f>'Expenditures 15-22'!K62</f>
        <v>6993</v>
      </c>
      <c r="C1129" s="2" t="s">
        <v>594</v>
      </c>
      <c r="D1129" s="2" t="str">
        <f t="shared" si="16"/>
        <v>Error?</v>
      </c>
    </row>
    <row r="1130" spans="1:4" x14ac:dyDescent="0.2">
      <c r="A1130" s="5">
        <v>1069</v>
      </c>
      <c r="B1130" s="138">
        <f>'Expenditures 15-22'!K63</f>
        <v>161436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361323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1410057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168801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4981864</v>
      </c>
      <c r="C1152" s="2" t="s">
        <v>594</v>
      </c>
      <c r="D1152" s="2" t="str">
        <f t="shared" si="17"/>
        <v>Error?</v>
      </c>
    </row>
    <row r="1153" spans="1:4" x14ac:dyDescent="0.2">
      <c r="A1153" s="5">
        <v>1092</v>
      </c>
      <c r="B1153" s="138">
        <f>'Expenditures 15-22'!K115</f>
        <v>150014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179238</v>
      </c>
      <c r="D1221" s="2" t="str">
        <f t="shared" si="18"/>
        <v>Error?</v>
      </c>
    </row>
    <row r="1222" spans="1:4" x14ac:dyDescent="0.2">
      <c r="A1222" s="10">
        <v>1161</v>
      </c>
      <c r="D1222" s="2" t="str">
        <f t="shared" si="18"/>
        <v>OK</v>
      </c>
    </row>
    <row r="1223" spans="1:4" x14ac:dyDescent="0.2">
      <c r="A1223" s="5">
        <v>1162</v>
      </c>
      <c r="B1223" s="138">
        <f>'Expenditures 15-22'!C127</f>
        <v>179238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179238</v>
      </c>
      <c r="C1225" s="2" t="s">
        <v>594</v>
      </c>
      <c r="D1225" s="2" t="str">
        <f t="shared" si="18"/>
        <v>Error?</v>
      </c>
    </row>
    <row r="1226" spans="1:4" x14ac:dyDescent="0.2">
      <c r="A1226" s="5">
        <v>1165</v>
      </c>
      <c r="B1226" s="138">
        <f>'Expenditures 15-22'!C151</f>
        <v>179238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36326</v>
      </c>
      <c r="D1229" s="2" t="str">
        <f t="shared" si="18"/>
        <v>Error?</v>
      </c>
    </row>
    <row r="1230" spans="1:4" x14ac:dyDescent="0.2">
      <c r="A1230" s="10">
        <v>1169</v>
      </c>
      <c r="D1230" s="2" t="str">
        <f t="shared" si="18"/>
        <v>OK</v>
      </c>
    </row>
    <row r="1231" spans="1:4" x14ac:dyDescent="0.2">
      <c r="A1231" s="5">
        <v>1170</v>
      </c>
      <c r="B1231" s="138">
        <f>'Expenditures 15-22'!D127</f>
        <v>36326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36326</v>
      </c>
      <c r="C1233" s="2" t="s">
        <v>594</v>
      </c>
      <c r="D1233" s="2" t="str">
        <f t="shared" si="18"/>
        <v>Error?</v>
      </c>
    </row>
    <row r="1234" spans="1:4" x14ac:dyDescent="0.2">
      <c r="A1234" s="5">
        <v>1173</v>
      </c>
      <c r="B1234" s="138">
        <f>'Expenditures 15-22'!D151</f>
        <v>36326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109209</v>
      </c>
      <c r="D1237" s="2" t="str">
        <f t="shared" si="18"/>
        <v>Error?</v>
      </c>
    </row>
    <row r="1238" spans="1:4" x14ac:dyDescent="0.2">
      <c r="A1238" s="10">
        <v>1177</v>
      </c>
      <c r="D1238" s="2" t="str">
        <f t="shared" si="18"/>
        <v>OK</v>
      </c>
    </row>
    <row r="1239" spans="1:4" x14ac:dyDescent="0.2">
      <c r="A1239" s="5">
        <v>1178</v>
      </c>
      <c r="B1239" s="138">
        <f>'Expenditures 15-22'!E127</f>
        <v>109209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109209</v>
      </c>
      <c r="C1241" s="2" t="s">
        <v>594</v>
      </c>
      <c r="D1241" s="2" t="str">
        <f t="shared" si="18"/>
        <v>Error?</v>
      </c>
    </row>
    <row r="1242" spans="1:4" x14ac:dyDescent="0.2">
      <c r="A1242" s="5">
        <v>1181</v>
      </c>
      <c r="B1242" s="138">
        <f>'Expenditures 15-22'!E151</f>
        <v>109209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64988</v>
      </c>
      <c r="D1245" s="2" t="str">
        <f t="shared" si="18"/>
        <v>Error?</v>
      </c>
    </row>
    <row r="1246" spans="1:4" x14ac:dyDescent="0.2">
      <c r="A1246" s="10">
        <v>1185</v>
      </c>
      <c r="D1246" s="2" t="str">
        <f t="shared" si="18"/>
        <v>OK</v>
      </c>
    </row>
    <row r="1247" spans="1:4" x14ac:dyDescent="0.2">
      <c r="A1247" s="5">
        <v>1186</v>
      </c>
      <c r="B1247" s="138">
        <f>'Expenditures 15-22'!F127</f>
        <v>64988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64988</v>
      </c>
      <c r="C1249" s="2" t="s">
        <v>594</v>
      </c>
      <c r="D1249" s="2" t="str">
        <f t="shared" si="18"/>
        <v>Error?</v>
      </c>
    </row>
    <row r="1250" spans="1:4" x14ac:dyDescent="0.2">
      <c r="A1250" s="5">
        <v>1189</v>
      </c>
      <c r="B1250" s="138">
        <f>'Expenditures 15-22'!F151</f>
        <v>64988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243220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243220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243220</v>
      </c>
      <c r="C1258" s="2" t="s">
        <v>594</v>
      </c>
      <c r="D1258" s="2" t="str">
        <f t="shared" si="18"/>
        <v>Error?</v>
      </c>
    </row>
    <row r="1259" spans="1:4" x14ac:dyDescent="0.2">
      <c r="A1259" s="5">
        <v>1198</v>
      </c>
      <c r="B1259" s="138">
        <f>'Expenditures 15-22'!G151</f>
        <v>243220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632981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632981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632981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632981</v>
      </c>
      <c r="C1288" s="2" t="s">
        <v>594</v>
      </c>
      <c r="D1288" s="2" t="str">
        <f t="shared" si="19"/>
        <v>Error?</v>
      </c>
    </row>
    <row r="1289" spans="1:4" x14ac:dyDescent="0.2">
      <c r="A1289" s="5">
        <v>1228</v>
      </c>
      <c r="B1289" s="138">
        <f>'Expenditures 15-22'!K152</f>
        <v>-190176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422771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555500</v>
      </c>
      <c r="D1315" s="2" t="str">
        <f t="shared" si="19"/>
        <v>Error?</v>
      </c>
    </row>
    <row r="1316" spans="1:4" x14ac:dyDescent="0.2">
      <c r="A1316" s="5">
        <v>1255</v>
      </c>
      <c r="B1316" s="138">
        <f>'Expenditures 15-22'!H171</f>
        <v>1542</v>
      </c>
      <c r="D1316" s="2" t="str">
        <f t="shared" si="19"/>
        <v>Error?</v>
      </c>
    </row>
    <row r="1317" spans="1:4" x14ac:dyDescent="0.2">
      <c r="A1317" s="5">
        <v>1256</v>
      </c>
      <c r="B1317" s="138">
        <f>'Expenditures 15-22'!H172</f>
        <v>979813</v>
      </c>
      <c r="C1317" s="2" t="s">
        <v>594</v>
      </c>
      <c r="D1317" s="2" t="str">
        <f t="shared" si="19"/>
        <v>Error?</v>
      </c>
    </row>
    <row r="1318" spans="1:4" x14ac:dyDescent="0.2">
      <c r="A1318" s="5">
        <v>1257</v>
      </c>
      <c r="B1318" s="138">
        <f>'Expenditures 15-22'!H174</f>
        <v>979813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422771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555500</v>
      </c>
      <c r="C1329" s="2" t="s">
        <v>594</v>
      </c>
      <c r="D1329" s="2" t="str">
        <f t="shared" si="19"/>
        <v>Error?</v>
      </c>
    </row>
    <row r="1330" spans="1:4" x14ac:dyDescent="0.2">
      <c r="A1330" s="5">
        <v>1269</v>
      </c>
      <c r="B1330" s="138">
        <f>'Expenditures 15-22'!K171</f>
        <v>1542</v>
      </c>
      <c r="C1330" s="2" t="s">
        <v>594</v>
      </c>
      <c r="D1330" s="2" t="str">
        <f t="shared" si="19"/>
        <v>Error?</v>
      </c>
    </row>
    <row r="1331" spans="1:4" x14ac:dyDescent="0.2">
      <c r="A1331" s="5">
        <v>1270</v>
      </c>
      <c r="B1331" s="138">
        <f>'Expenditures 15-22'!K172</f>
        <v>979813</v>
      </c>
      <c r="C1331" s="2" t="s">
        <v>594</v>
      </c>
      <c r="D1331" s="2" t="str">
        <f t="shared" si="19"/>
        <v>Error?</v>
      </c>
    </row>
    <row r="1332" spans="1:4" x14ac:dyDescent="0.2">
      <c r="A1332" s="5">
        <v>1271</v>
      </c>
      <c r="B1332" s="138">
        <f>'Expenditures 15-22'!K174</f>
        <v>979813</v>
      </c>
      <c r="C1332" s="2" t="s">
        <v>594</v>
      </c>
      <c r="D1332" s="2" t="str">
        <f t="shared" si="19"/>
        <v>Error?</v>
      </c>
    </row>
    <row r="1333" spans="1:4" x14ac:dyDescent="0.2">
      <c r="A1333" s="5">
        <v>1272</v>
      </c>
      <c r="B1333" s="138">
        <f>'Expenditures 15-22'!K175</f>
        <v>153381</v>
      </c>
      <c r="C1333" s="2" t="s">
        <v>594</v>
      </c>
      <c r="D1333" s="2" t="str">
        <f t="shared" si="19"/>
        <v>Error?</v>
      </c>
    </row>
    <row r="1334" spans="1:4" x14ac:dyDescent="0.2">
      <c r="A1334" s="10">
        <v>1273</v>
      </c>
      <c r="D1334" s="2" t="str">
        <f t="shared" si="19"/>
        <v>OK</v>
      </c>
    </row>
    <row r="1335" spans="1:4" x14ac:dyDescent="0.2">
      <c r="A1335" s="5">
        <v>1274</v>
      </c>
      <c r="B1335" s="138">
        <f>'Expenditures 15-22'!C182</f>
        <v>160834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160834</v>
      </c>
      <c r="C1339" s="2" t="s">
        <v>594</v>
      </c>
      <c r="D1339" s="2" t="str">
        <f t="shared" si="19"/>
        <v>Error?</v>
      </c>
    </row>
    <row r="1340" spans="1:4" x14ac:dyDescent="0.2">
      <c r="A1340" s="5">
        <v>1279</v>
      </c>
      <c r="B1340" s="138">
        <f>'Expenditures 15-22'!C210</f>
        <v>160834</v>
      </c>
      <c r="C1340" s="2" t="s">
        <v>594</v>
      </c>
      <c r="D1340" s="2" t="str">
        <f t="shared" si="19"/>
        <v>Error?</v>
      </c>
    </row>
    <row r="1341" spans="1:4" x14ac:dyDescent="0.2">
      <c r="A1341" s="5">
        <v>1280</v>
      </c>
      <c r="B1341" s="138">
        <f>'Expenditures 15-22'!D182</f>
        <v>1909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1909</v>
      </c>
      <c r="C1345" s="2" t="s">
        <v>594</v>
      </c>
      <c r="D1345" s="2" t="str">
        <f t="shared" si="20"/>
        <v>Error?</v>
      </c>
    </row>
    <row r="1346" spans="1:4" x14ac:dyDescent="0.2">
      <c r="A1346" s="5">
        <v>1285</v>
      </c>
      <c r="B1346" s="138">
        <f>'Expenditures 15-22'!D210</f>
        <v>1909</v>
      </c>
      <c r="C1346" s="2" t="s">
        <v>594</v>
      </c>
      <c r="D1346" s="2" t="str">
        <f t="shared" si="20"/>
        <v>Error?</v>
      </c>
    </row>
    <row r="1347" spans="1:4" x14ac:dyDescent="0.2">
      <c r="A1347" s="5">
        <v>1286</v>
      </c>
      <c r="B1347" s="138">
        <f>'Expenditures 15-22'!E182</f>
        <v>28043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28043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28043</v>
      </c>
      <c r="C1353" s="2" t="s">
        <v>594</v>
      </c>
      <c r="D1353" s="2" t="str">
        <f t="shared" si="20"/>
        <v>Error?</v>
      </c>
    </row>
    <row r="1354" spans="1:4" x14ac:dyDescent="0.2">
      <c r="A1354" s="5">
        <v>1293</v>
      </c>
      <c r="B1354" s="138">
        <f>'Expenditures 15-22'!F182</f>
        <v>38298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38298</v>
      </c>
      <c r="C1358" s="2" t="s">
        <v>594</v>
      </c>
      <c r="D1358" s="2" t="str">
        <f t="shared" si="20"/>
        <v>Error?</v>
      </c>
    </row>
    <row r="1359" spans="1:4" x14ac:dyDescent="0.2">
      <c r="A1359" s="5">
        <v>1298</v>
      </c>
      <c r="B1359" s="138">
        <f>'Expenditures 15-22'!F210</f>
        <v>38298</v>
      </c>
      <c r="C1359" s="2" t="s">
        <v>594</v>
      </c>
      <c r="D1359" s="2" t="str">
        <f t="shared" si="20"/>
        <v>Error?</v>
      </c>
    </row>
    <row r="1360" spans="1:4" x14ac:dyDescent="0.2">
      <c r="A1360" s="5">
        <v>1299</v>
      </c>
      <c r="B1360" s="138">
        <f>'Expenditures 15-22'!G182</f>
        <v>137000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137000</v>
      </c>
      <c r="C1364" s="2" t="s">
        <v>594</v>
      </c>
      <c r="D1364" s="2" t="str">
        <f t="shared" si="20"/>
        <v>Error?</v>
      </c>
    </row>
    <row r="1365" spans="1:4" x14ac:dyDescent="0.2">
      <c r="A1365" s="5">
        <v>1304</v>
      </c>
      <c r="B1365" s="138">
        <f>'Expenditures 15-22'!G210</f>
        <v>137000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47500</v>
      </c>
      <c r="C1375" s="2" t="s">
        <v>594</v>
      </c>
      <c r="D1375" s="2" t="str">
        <f t="shared" si="20"/>
        <v>Error?</v>
      </c>
    </row>
    <row r="1376" spans="1:4" x14ac:dyDescent="0.2">
      <c r="A1376" s="5">
        <v>1315</v>
      </c>
      <c r="B1376" s="138">
        <f>'Expenditures 15-22'!H210</f>
        <v>47500</v>
      </c>
      <c r="C1376" s="2" t="s">
        <v>594</v>
      </c>
      <c r="D1376" s="2" t="str">
        <f t="shared" si="20"/>
        <v>Error?</v>
      </c>
    </row>
    <row r="1377" spans="1:4" x14ac:dyDescent="0.2">
      <c r="A1377" s="5">
        <v>1316</v>
      </c>
      <c r="B1377" s="138">
        <f>'Expenditures 15-22'!K182</f>
        <v>366084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366084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47500</v>
      </c>
      <c r="C1387" s="2" t="s">
        <v>594</v>
      </c>
      <c r="D1387" s="2" t="str">
        <f t="shared" si="20"/>
        <v>Error?</v>
      </c>
    </row>
    <row r="1388" spans="1:4" x14ac:dyDescent="0.2">
      <c r="A1388" s="5">
        <v>1327</v>
      </c>
      <c r="B1388" s="138">
        <f>'Expenditures 15-22'!K210</f>
        <v>413584</v>
      </c>
      <c r="C1388" s="2" t="s">
        <v>594</v>
      </c>
      <c r="D1388" s="2" t="str">
        <f t="shared" si="20"/>
        <v>Error?</v>
      </c>
    </row>
    <row r="1389" spans="1:4" x14ac:dyDescent="0.2">
      <c r="A1389" s="5">
        <v>1328</v>
      </c>
      <c r="B1389" s="138">
        <f>'Expenditures 15-22'!K211</f>
        <v>-49010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1792</v>
      </c>
      <c r="D1407" s="2" t="str">
        <f t="shared" ref="D1407:D1470" si="21">IF(ISBLANK(B1407),"OK",IF(A1407-B1407=0,"OK","Error?"))</f>
        <v>Error?</v>
      </c>
    </row>
    <row r="1408" spans="1:4" x14ac:dyDescent="0.2">
      <c r="A1408" s="5">
        <v>1347</v>
      </c>
      <c r="B1408" s="138">
        <f>'Expenditures 15-22'!D223</f>
        <v>2766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81395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812</v>
      </c>
      <c r="D1412" s="2" t="str">
        <f t="shared" si="21"/>
        <v>Error?</v>
      </c>
    </row>
    <row r="1413" spans="1:4" x14ac:dyDescent="0.2">
      <c r="A1413" s="5">
        <v>1352</v>
      </c>
      <c r="B1413" s="138">
        <f>'Expenditures 15-22'!D234</f>
        <v>711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952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2475</v>
      </c>
      <c r="C1417" s="2" t="s">
        <v>594</v>
      </c>
      <c r="D1417" s="2" t="str">
        <f t="shared" si="21"/>
        <v>Error?</v>
      </c>
    </row>
    <row r="1418" spans="1:4" x14ac:dyDescent="0.2">
      <c r="A1418" s="5">
        <v>1357</v>
      </c>
      <c r="B1418" s="138">
        <f>'Expenditures 15-22'!D240</f>
        <v>153</v>
      </c>
      <c r="D1418" s="2" t="str">
        <f t="shared" si="21"/>
        <v>Error?</v>
      </c>
    </row>
    <row r="1419" spans="1:4" x14ac:dyDescent="0.2">
      <c r="A1419" s="5">
        <v>1358</v>
      </c>
      <c r="B1419" s="138">
        <f>'Expenditures 15-22'!D241</f>
        <v>12795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12948</v>
      </c>
      <c r="C1421" s="2" t="s">
        <v>594</v>
      </c>
      <c r="D1421" s="2" t="str">
        <f t="shared" si="21"/>
        <v>Error?</v>
      </c>
    </row>
    <row r="1422" spans="1:4" x14ac:dyDescent="0.2">
      <c r="A1422" s="5">
        <v>1361</v>
      </c>
      <c r="B1422" s="138">
        <f>'Expenditures 15-22'!D245</f>
        <v>262</v>
      </c>
      <c r="D1422" s="2" t="str">
        <f t="shared" si="21"/>
        <v>Error?</v>
      </c>
    </row>
    <row r="1423" spans="1:4" x14ac:dyDescent="0.2">
      <c r="A1423" s="5">
        <v>1362</v>
      </c>
      <c r="B1423" s="138">
        <f>'Expenditures 15-22'!D246</f>
        <v>4351</v>
      </c>
      <c r="D1423" s="2" t="str">
        <f t="shared" si="21"/>
        <v>Error?</v>
      </c>
    </row>
    <row r="1424" spans="1:4" x14ac:dyDescent="0.2">
      <c r="A1424" s="5">
        <v>1363</v>
      </c>
      <c r="B1424" s="138">
        <f>'Expenditures 15-22'!D257</f>
        <v>4613</v>
      </c>
      <c r="C1424" s="2" t="s">
        <v>594</v>
      </c>
      <c r="D1424" s="2" t="str">
        <f t="shared" si="21"/>
        <v>Error?</v>
      </c>
    </row>
    <row r="1425" spans="1:4" x14ac:dyDescent="0.2">
      <c r="A1425" s="5">
        <v>1364</v>
      </c>
      <c r="B1425" s="138">
        <f>'Expenditures 15-22'!D259</f>
        <v>16928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16928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8631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28885</v>
      </c>
      <c r="D1431" s="2" t="str">
        <f t="shared" si="21"/>
        <v>Error?</v>
      </c>
    </row>
    <row r="1432" spans="1:4" x14ac:dyDescent="0.2">
      <c r="A1432" s="5">
        <v>1371</v>
      </c>
      <c r="B1432" s="138">
        <f>'Expenditures 15-22'!D267</f>
        <v>14986</v>
      </c>
      <c r="D1432" s="2" t="str">
        <f t="shared" si="21"/>
        <v>Error?</v>
      </c>
    </row>
    <row r="1433" spans="1:4" x14ac:dyDescent="0.2">
      <c r="A1433" s="5">
        <v>1372</v>
      </c>
      <c r="B1433" s="138">
        <f>'Expenditures 15-22'!D268</f>
        <v>12005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64507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101471</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182866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1792</v>
      </c>
      <c r="C1471" s="2" t="s">
        <v>594</v>
      </c>
      <c r="D1471" s="2" t="str">
        <f t="shared" ref="D1471:D1534" si="22">IF(ISBLANK(B1471),"OK",IF(A1471-B1471=0,"OK","Error?"))</f>
        <v>Error?</v>
      </c>
    </row>
    <row r="1472" spans="1:4" x14ac:dyDescent="0.2">
      <c r="A1472" s="5">
        <v>1411</v>
      </c>
      <c r="B1472" s="138">
        <f>'Expenditures 15-22'!K223</f>
        <v>2766</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81395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812</v>
      </c>
      <c r="C1476" s="2" t="s">
        <v>594</v>
      </c>
      <c r="D1476" s="2" t="str">
        <f t="shared" si="22"/>
        <v>Error?</v>
      </c>
    </row>
    <row r="1477" spans="1:4" x14ac:dyDescent="0.2">
      <c r="A1477" s="5">
        <v>1416</v>
      </c>
      <c r="B1477" s="138">
        <f>'Expenditures 15-22'!K234</f>
        <v>711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952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2475</v>
      </c>
      <c r="C1481" s="2" t="s">
        <v>594</v>
      </c>
      <c r="D1481" s="2" t="str">
        <f t="shared" si="22"/>
        <v>Error?</v>
      </c>
    </row>
    <row r="1482" spans="1:4" x14ac:dyDescent="0.2">
      <c r="A1482" s="5">
        <v>1421</v>
      </c>
      <c r="B1482" s="138">
        <f>'Expenditures 15-22'!K240</f>
        <v>153</v>
      </c>
      <c r="C1482" s="2" t="s">
        <v>594</v>
      </c>
      <c r="D1482" s="2" t="str">
        <f t="shared" si="22"/>
        <v>Error?</v>
      </c>
    </row>
    <row r="1483" spans="1:4" x14ac:dyDescent="0.2">
      <c r="A1483" s="5">
        <v>1422</v>
      </c>
      <c r="B1483" s="138">
        <f>'Expenditures 15-22'!K241</f>
        <v>12795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12948</v>
      </c>
      <c r="C1485" s="2" t="s">
        <v>594</v>
      </c>
      <c r="D1485" s="2" t="str">
        <f t="shared" si="22"/>
        <v>Error?</v>
      </c>
    </row>
    <row r="1486" spans="1:4" x14ac:dyDescent="0.2">
      <c r="A1486" s="5">
        <v>1425</v>
      </c>
      <c r="B1486" s="138">
        <f>'Expenditures 15-22'!K245</f>
        <v>262</v>
      </c>
      <c r="C1486" s="2" t="s">
        <v>594</v>
      </c>
      <c r="D1486" s="2" t="str">
        <f t="shared" si="22"/>
        <v>Error?</v>
      </c>
    </row>
    <row r="1487" spans="1:4" x14ac:dyDescent="0.2">
      <c r="A1487" s="5">
        <v>1426</v>
      </c>
      <c r="B1487" s="138">
        <f>'Expenditures 15-22'!K246</f>
        <v>4351</v>
      </c>
      <c r="C1487" s="2" t="s">
        <v>594</v>
      </c>
      <c r="D1487" s="2" t="str">
        <f t="shared" si="22"/>
        <v>Error?</v>
      </c>
    </row>
    <row r="1488" spans="1:4" x14ac:dyDescent="0.2">
      <c r="A1488" s="5">
        <v>1427</v>
      </c>
      <c r="B1488" s="138">
        <f>'Expenditures 15-22'!K257</f>
        <v>4613</v>
      </c>
      <c r="C1488" s="2" t="s">
        <v>594</v>
      </c>
      <c r="D1488" s="2" t="str">
        <f t="shared" si="22"/>
        <v>Error?</v>
      </c>
    </row>
    <row r="1489" spans="1:4" x14ac:dyDescent="0.2">
      <c r="A1489" s="5">
        <v>1428</v>
      </c>
      <c r="B1489" s="138">
        <f>'Expenditures 15-22'!K259</f>
        <v>16928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16928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8631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28885</v>
      </c>
      <c r="C1495" s="2" t="s">
        <v>594</v>
      </c>
      <c r="D1495" s="2" t="str">
        <f t="shared" si="22"/>
        <v>Error?</v>
      </c>
    </row>
    <row r="1496" spans="1:4" x14ac:dyDescent="0.2">
      <c r="A1496" s="5">
        <v>1435</v>
      </c>
      <c r="B1496" s="138">
        <f>'Expenditures 15-22'!K267</f>
        <v>14986</v>
      </c>
      <c r="C1496" s="2" t="s">
        <v>594</v>
      </c>
      <c r="D1496" s="2" t="str">
        <f t="shared" si="22"/>
        <v>Error?</v>
      </c>
    </row>
    <row r="1497" spans="1:4" x14ac:dyDescent="0.2">
      <c r="A1497" s="5">
        <v>1436</v>
      </c>
      <c r="B1497" s="138">
        <f>'Expenditures 15-22'!K268</f>
        <v>12005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64507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101471</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182866</v>
      </c>
      <c r="C1517" s="2" t="s">
        <v>594</v>
      </c>
      <c r="D1517" s="2" t="str">
        <f t="shared" si="22"/>
        <v>Error?</v>
      </c>
    </row>
    <row r="1518" spans="1:4" x14ac:dyDescent="0.2">
      <c r="A1518" s="5">
        <v>1457</v>
      </c>
      <c r="B1518" s="138">
        <f>'Expenditures 15-22'!K296</f>
        <v>-4642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3283770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3440283</v>
      </c>
      <c r="C1630" s="2" t="s">
        <v>594</v>
      </c>
      <c r="D1630" s="2" t="str">
        <f t="shared" si="24"/>
        <v>Error?</v>
      </c>
    </row>
    <row r="1631" spans="1:4" x14ac:dyDescent="0.2">
      <c r="A1631" s="5">
        <v>1570</v>
      </c>
      <c r="B1631" s="138">
        <f>'Acct Summary 7-8'!D79</f>
        <v>1711315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1521139</v>
      </c>
      <c r="C1644" s="2" t="s">
        <v>594</v>
      </c>
      <c r="D1644" s="2" t="str">
        <f t="shared" si="24"/>
        <v>Error?</v>
      </c>
    </row>
    <row r="1645" spans="1:4" x14ac:dyDescent="0.2">
      <c r="A1645" s="5">
        <v>1584</v>
      </c>
      <c r="B1645" s="138">
        <f>'Acct Summary 7-8'!E79</f>
        <v>513263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666644</v>
      </c>
      <c r="C1658" s="2" t="s">
        <v>594</v>
      </c>
      <c r="D1658" s="2" t="str">
        <f t="shared" si="24"/>
        <v>Error?</v>
      </c>
    </row>
    <row r="1659" spans="1:4" x14ac:dyDescent="0.2">
      <c r="A1659" s="5">
        <v>1598</v>
      </c>
      <c r="B1659" s="138">
        <f>'Acct Summary 7-8'!F79</f>
        <v>826516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914506</v>
      </c>
      <c r="C1672" s="2" t="s">
        <v>594</v>
      </c>
      <c r="D1672" s="2" t="str">
        <f t="shared" si="25"/>
        <v>Error?</v>
      </c>
    </row>
    <row r="1673" spans="1:4" x14ac:dyDescent="0.2">
      <c r="A1673" s="5">
        <v>1612</v>
      </c>
      <c r="B1673" s="138">
        <f>'Acct Summary 7-8'!G79</f>
        <v>102136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97494</v>
      </c>
      <c r="C1686" s="2" t="s">
        <v>594</v>
      </c>
      <c r="D1686" s="2" t="str">
        <f t="shared" si="25"/>
        <v>Error?</v>
      </c>
    </row>
    <row r="1687" spans="1:4" x14ac:dyDescent="0.2">
      <c r="A1687" s="5">
        <v>1626</v>
      </c>
      <c r="B1687" s="138">
        <f>'Acct Summary 7-8'!H79</f>
        <v>533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2222733</v>
      </c>
      <c r="C1744" s="2" t="s">
        <v>594</v>
      </c>
      <c r="D1744" s="2" t="str">
        <f t="shared" si="26"/>
        <v>Error?</v>
      </c>
    </row>
    <row r="1745" spans="1:5" x14ac:dyDescent="0.2">
      <c r="A1745" s="5">
        <v>1684</v>
      </c>
      <c r="B1745" s="138">
        <f>'Tax Sched 23'!B5</f>
        <v>419720</v>
      </c>
      <c r="C1745" s="2" t="s">
        <v>594</v>
      </c>
      <c r="D1745" s="2" t="str">
        <f t="shared" si="26"/>
        <v>Error?</v>
      </c>
    </row>
    <row r="1746" spans="1:5" x14ac:dyDescent="0.2">
      <c r="A1746" s="5">
        <v>1685</v>
      </c>
      <c r="B1746" s="138">
        <f>'Tax Sched 23'!B6</f>
        <v>545134</v>
      </c>
      <c r="C1746" s="2" t="s">
        <v>594</v>
      </c>
      <c r="D1746" s="2" t="str">
        <f t="shared" si="26"/>
        <v>Error?</v>
      </c>
    </row>
    <row r="1747" spans="1:5" x14ac:dyDescent="0.2">
      <c r="A1747" s="5">
        <v>1686</v>
      </c>
      <c r="B1747" s="138">
        <f>'Tax Sched 23'!B7</f>
        <v>191976</v>
      </c>
      <c r="C1747" s="2" t="s">
        <v>594</v>
      </c>
      <c r="D1747" s="2" t="str">
        <f t="shared" si="26"/>
        <v>Error?</v>
      </c>
    </row>
    <row r="1748" spans="1:5" x14ac:dyDescent="0.2">
      <c r="A1748" s="5">
        <v>1687</v>
      </c>
      <c r="B1748" s="138">
        <f>'Tax Sched 23'!B8</f>
        <v>77834</v>
      </c>
      <c r="C1748" s="2" t="s">
        <v>594</v>
      </c>
      <c r="D1748" s="2" t="str">
        <f t="shared" si="26"/>
        <v>Error?</v>
      </c>
    </row>
    <row r="1749" spans="1:5" x14ac:dyDescent="0.2">
      <c r="A1749" s="5">
        <v>1688</v>
      </c>
      <c r="B1749" s="138">
        <f>'Tax Sched 23'!B10</f>
        <v>5786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123361</v>
      </c>
      <c r="C1752" s="2" t="s">
        <v>594</v>
      </c>
      <c r="D1752" s="2" t="str">
        <f t="shared" si="26"/>
        <v>Error?</v>
      </c>
    </row>
    <row r="1753" spans="1:5" x14ac:dyDescent="0.2">
      <c r="A1753" s="5">
        <v>1692</v>
      </c>
      <c r="B1753" s="138">
        <f>'Tax Sched 23'!B12</f>
        <v>36593</v>
      </c>
      <c r="C1753" s="2" t="s">
        <v>594</v>
      </c>
      <c r="D1753" s="2" t="str">
        <f t="shared" si="26"/>
        <v>Error?</v>
      </c>
    </row>
    <row r="1754" spans="1:5" x14ac:dyDescent="0.2">
      <c r="A1754" s="5">
        <v>1693</v>
      </c>
      <c r="B1754" s="138">
        <f>'Tax Sched 23'!B14</f>
        <v>46210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3756807</v>
      </c>
      <c r="C1759" s="2" t="s">
        <v>594</v>
      </c>
      <c r="D1759" s="2" t="str">
        <f t="shared" si="26"/>
        <v>Error?</v>
      </c>
    </row>
    <row r="1760" spans="1:5" x14ac:dyDescent="0.2">
      <c r="A1760" s="5">
        <v>1699</v>
      </c>
      <c r="B1760" s="138">
        <f>'Tax Sched 23'!D4</f>
        <v>912214</v>
      </c>
      <c r="C1760" s="2" t="s">
        <v>594</v>
      </c>
      <c r="D1760" s="2" t="str">
        <f t="shared" si="26"/>
        <v>Error?</v>
      </c>
    </row>
    <row r="1761" spans="1:5" x14ac:dyDescent="0.2">
      <c r="A1761" s="5">
        <v>1700</v>
      </c>
      <c r="B1761" s="138">
        <f>'Tax Sched 23'!D5</f>
        <v>172027</v>
      </c>
      <c r="C1761" s="2" t="s">
        <v>594</v>
      </c>
      <c r="D1761" s="2" t="str">
        <f t="shared" si="26"/>
        <v>Error?</v>
      </c>
    </row>
    <row r="1762" spans="1:5" s="8" customFormat="1" x14ac:dyDescent="0.2">
      <c r="A1762" s="5">
        <v>1701</v>
      </c>
      <c r="B1762" s="138">
        <f>'Tax Sched 23'!D6</f>
        <v>197464</v>
      </c>
      <c r="C1762" s="2" t="s">
        <v>594</v>
      </c>
      <c r="D1762" s="2" t="str">
        <f t="shared" si="26"/>
        <v>Error?</v>
      </c>
      <c r="E1762" s="9"/>
    </row>
    <row r="1763" spans="1:5" x14ac:dyDescent="0.2">
      <c r="A1763" s="5">
        <v>1702</v>
      </c>
      <c r="B1763" s="138">
        <f>'Tax Sched 23'!D7</f>
        <v>78263</v>
      </c>
      <c r="C1763" s="2" t="s">
        <v>594</v>
      </c>
      <c r="D1763" s="2" t="str">
        <f t="shared" si="26"/>
        <v>Error?</v>
      </c>
    </row>
    <row r="1764" spans="1:5" x14ac:dyDescent="0.2">
      <c r="A1764" s="5">
        <v>1703</v>
      </c>
      <c r="B1764" s="138">
        <f>'Tax Sched 23'!D8</f>
        <v>28296</v>
      </c>
      <c r="C1764" s="2" t="s">
        <v>594</v>
      </c>
      <c r="D1764" s="2" t="str">
        <f t="shared" si="26"/>
        <v>Error?</v>
      </c>
    </row>
    <row r="1765" spans="1:5" x14ac:dyDescent="0.2">
      <c r="A1765" s="5">
        <v>1704</v>
      </c>
      <c r="B1765" s="138">
        <f>'Tax Sched 23'!D10</f>
        <v>2408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44550</v>
      </c>
      <c r="C1768" s="2" t="s">
        <v>594</v>
      </c>
      <c r="D1768" s="2" t="str">
        <f t="shared" si="26"/>
        <v>Error?</v>
      </c>
    </row>
    <row r="1769" spans="1:5" x14ac:dyDescent="0.2">
      <c r="A1769" s="5">
        <v>1708</v>
      </c>
      <c r="B1769" s="138">
        <f>'Tax Sched 23'!D12</f>
        <v>15201</v>
      </c>
      <c r="C1769" s="2" t="s">
        <v>594</v>
      </c>
      <c r="D1769" s="2" t="str">
        <f t="shared" si="26"/>
        <v>Error?</v>
      </c>
    </row>
    <row r="1770" spans="1:5" x14ac:dyDescent="0.2">
      <c r="A1770" s="5">
        <v>1709</v>
      </c>
      <c r="B1770" s="138">
        <f>'Tax Sched 23'!D14</f>
        <v>18964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1505057</v>
      </c>
      <c r="C1775" s="2" t="s">
        <v>594</v>
      </c>
      <c r="D1775" s="2" t="str">
        <f t="shared" si="26"/>
        <v>Error?</v>
      </c>
    </row>
    <row r="1776" spans="1:5" x14ac:dyDescent="0.2">
      <c r="A1776" s="5">
        <v>1715</v>
      </c>
      <c r="B1776" s="138">
        <f>'Tax Sched 23'!C4</f>
        <v>1310519</v>
      </c>
      <c r="D1776" s="2" t="str">
        <f t="shared" si="26"/>
        <v>Error?</v>
      </c>
    </row>
    <row r="1777" spans="1:4" x14ac:dyDescent="0.2">
      <c r="A1777" s="5">
        <v>1716</v>
      </c>
      <c r="B1777" s="138">
        <f>'Tax Sched 23'!C5</f>
        <v>247693</v>
      </c>
      <c r="D1777" s="2" t="str">
        <f t="shared" si="26"/>
        <v>Error?</v>
      </c>
    </row>
    <row r="1778" spans="1:4" x14ac:dyDescent="0.2">
      <c r="A1778" s="5">
        <v>1717</v>
      </c>
      <c r="B1778" s="138">
        <f>'Tax Sched 23'!C6</f>
        <v>347670</v>
      </c>
      <c r="D1778" s="2" t="str">
        <f t="shared" si="26"/>
        <v>Error?</v>
      </c>
    </row>
    <row r="1779" spans="1:4" x14ac:dyDescent="0.2">
      <c r="A1779" s="5">
        <v>1718</v>
      </c>
      <c r="B1779" s="138">
        <f>'Tax Sched 23'!C7</f>
        <v>113713</v>
      </c>
      <c r="D1779" s="2" t="str">
        <f t="shared" si="26"/>
        <v>Error?</v>
      </c>
    </row>
    <row r="1780" spans="1:4" x14ac:dyDescent="0.2">
      <c r="A1780" s="5">
        <v>1719</v>
      </c>
      <c r="B1780" s="138">
        <f>'Tax Sched 23'!C8</f>
        <v>49538</v>
      </c>
      <c r="D1780" s="2" t="str">
        <f t="shared" si="26"/>
        <v>Error?</v>
      </c>
    </row>
    <row r="1781" spans="1:4" x14ac:dyDescent="0.2">
      <c r="A1781" s="5">
        <v>1720</v>
      </c>
      <c r="B1781" s="138">
        <f>'Tax Sched 23'!C10</f>
        <v>3378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78811</v>
      </c>
      <c r="D1784" s="2" t="str">
        <f t="shared" si="26"/>
        <v>Error?</v>
      </c>
    </row>
    <row r="1785" spans="1:4" x14ac:dyDescent="0.2">
      <c r="A1785" s="5">
        <v>1724</v>
      </c>
      <c r="B1785" s="138">
        <f>'Tax Sched 23'!C12</f>
        <v>21392</v>
      </c>
      <c r="D1785" s="2" t="str">
        <f t="shared" si="26"/>
        <v>Error?</v>
      </c>
    </row>
    <row r="1786" spans="1:4" x14ac:dyDescent="0.2">
      <c r="A1786" s="5">
        <v>1725</v>
      </c>
      <c r="B1786" s="138">
        <f>'Tax Sched 23'!C14</f>
        <v>27246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2251750</v>
      </c>
      <c r="C1791" s="2" t="s">
        <v>594</v>
      </c>
      <c r="D1791" s="2" t="str">
        <f t="shared" ref="D1791:D1854" si="27">IF(ISBLANK(B1791),"OK",IF(A1791-B1791=0,"OK","Error?"))</f>
        <v>Error?</v>
      </c>
    </row>
    <row r="1792" spans="1:4" x14ac:dyDescent="0.2">
      <c r="A1792" s="5">
        <v>1731</v>
      </c>
      <c r="B1792" s="138">
        <f>'Tax Sched 23'!F4</f>
        <v>940049</v>
      </c>
      <c r="C1792" s="2" t="s">
        <v>594</v>
      </c>
      <c r="D1792" s="2" t="str">
        <f t="shared" si="27"/>
        <v>Error?</v>
      </c>
    </row>
    <row r="1793" spans="1:4" x14ac:dyDescent="0.2">
      <c r="A1793" s="5">
        <v>1732</v>
      </c>
      <c r="B1793" s="138">
        <f>'Tax Sched 23'!F5</f>
        <v>177821</v>
      </c>
      <c r="C1793" s="2" t="s">
        <v>594</v>
      </c>
      <c r="D1793" s="2" t="str">
        <f t="shared" si="27"/>
        <v>Error?</v>
      </c>
    </row>
    <row r="1794" spans="1:4" x14ac:dyDescent="0.2">
      <c r="A1794" s="5">
        <v>1733</v>
      </c>
      <c r="B1794" s="138">
        <f>'Tax Sched 23'!F6</f>
        <v>249274</v>
      </c>
      <c r="C1794" s="2" t="s">
        <v>594</v>
      </c>
      <c r="D1794" s="2" t="str">
        <f t="shared" si="27"/>
        <v>Error?</v>
      </c>
    </row>
    <row r="1795" spans="1:4" x14ac:dyDescent="0.2">
      <c r="A1795" s="5">
        <v>1734</v>
      </c>
      <c r="B1795" s="138">
        <f>'Tax Sched 23'!F7</f>
        <v>81422</v>
      </c>
      <c r="C1795" s="2" t="s">
        <v>594</v>
      </c>
      <c r="D1795" s="2" t="str">
        <f t="shared" si="27"/>
        <v>Error?</v>
      </c>
    </row>
    <row r="1796" spans="1:4" x14ac:dyDescent="0.2">
      <c r="A1796" s="5">
        <v>1735</v>
      </c>
      <c r="B1796" s="138">
        <f>'Tax Sched 23'!F8</f>
        <v>35471</v>
      </c>
      <c r="C1796" s="2" t="s">
        <v>594</v>
      </c>
      <c r="D1796" s="2" t="str">
        <f t="shared" si="27"/>
        <v>Error?</v>
      </c>
    </row>
    <row r="1797" spans="1:4" x14ac:dyDescent="0.2">
      <c r="A1797" s="5">
        <v>1736</v>
      </c>
      <c r="B1797" s="138">
        <f>'Tax Sched 23'!F10</f>
        <v>2587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56669</v>
      </c>
      <c r="C1800" s="2" t="s">
        <v>594</v>
      </c>
      <c r="D1800" s="2" t="str">
        <f t="shared" si="27"/>
        <v>Error?</v>
      </c>
    </row>
    <row r="1801" spans="1:4" x14ac:dyDescent="0.2">
      <c r="A1801" s="5">
        <v>1740</v>
      </c>
      <c r="B1801" s="138">
        <f>'Tax Sched 23'!F12</f>
        <v>15343</v>
      </c>
      <c r="C1801" s="2" t="s">
        <v>594</v>
      </c>
      <c r="D1801" s="2" t="str">
        <f t="shared" si="27"/>
        <v>Error?</v>
      </c>
    </row>
    <row r="1802" spans="1:4" x14ac:dyDescent="0.2">
      <c r="A1802" s="5">
        <v>1741</v>
      </c>
      <c r="B1802" s="138">
        <f>'Tax Sched 23'!F14</f>
        <v>19536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1615472</v>
      </c>
      <c r="C1807" s="2" t="s">
        <v>594</v>
      </c>
      <c r="D1807" s="2" t="str">
        <f t="shared" si="27"/>
        <v>Error?</v>
      </c>
    </row>
    <row r="1808" spans="1:4" x14ac:dyDescent="0.2">
      <c r="A1808" s="5">
        <v>1747</v>
      </c>
      <c r="B1808" s="138">
        <f>'Tax Sched 23'!E4</f>
        <v>2250568</v>
      </c>
      <c r="D1808" s="2" t="str">
        <f t="shared" si="27"/>
        <v>Error?</v>
      </c>
    </row>
    <row r="1809" spans="1:4" x14ac:dyDescent="0.2">
      <c r="A1809" s="5">
        <v>1748</v>
      </c>
      <c r="B1809" s="138">
        <f>'Tax Sched 23'!E5</f>
        <v>425514</v>
      </c>
      <c r="D1809" s="2" t="str">
        <f t="shared" si="27"/>
        <v>Error?</v>
      </c>
    </row>
    <row r="1810" spans="1:4" x14ac:dyDescent="0.2">
      <c r="A1810" s="5">
        <v>1749</v>
      </c>
      <c r="B1810" s="138">
        <f>'Tax Sched 23'!E6</f>
        <v>596944</v>
      </c>
      <c r="D1810" s="2" t="str">
        <f t="shared" si="27"/>
        <v>Error?</v>
      </c>
    </row>
    <row r="1811" spans="1:4" x14ac:dyDescent="0.2">
      <c r="A1811" s="5">
        <v>1750</v>
      </c>
      <c r="B1811" s="138">
        <f>'Tax Sched 23'!E7</f>
        <v>195135</v>
      </c>
      <c r="D1811" s="2" t="str">
        <f t="shared" si="27"/>
        <v>Error?</v>
      </c>
    </row>
    <row r="1812" spans="1:4" x14ac:dyDescent="0.2">
      <c r="A1812" s="5">
        <v>1751</v>
      </c>
      <c r="B1812" s="138">
        <f>'Tax Sched 23'!E8</f>
        <v>85009</v>
      </c>
      <c r="D1812" s="2" t="str">
        <f t="shared" si="27"/>
        <v>Error?</v>
      </c>
    </row>
    <row r="1813" spans="1:4" x14ac:dyDescent="0.2">
      <c r="A1813" s="5">
        <v>1752</v>
      </c>
      <c r="B1813" s="138">
        <f>'Tax Sched 23'!E10</f>
        <v>5965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135480</v>
      </c>
      <c r="D1816" s="2" t="str">
        <f t="shared" si="27"/>
        <v>Error?</v>
      </c>
    </row>
    <row r="1817" spans="1:4" x14ac:dyDescent="0.2">
      <c r="A1817" s="5">
        <v>1756</v>
      </c>
      <c r="B1817" s="138">
        <f>'Tax Sched 23'!E12</f>
        <v>36735</v>
      </c>
      <c r="D1817" s="2" t="str">
        <f t="shared" si="27"/>
        <v>Error?</v>
      </c>
    </row>
    <row r="1818" spans="1:4" x14ac:dyDescent="0.2">
      <c r="A1818" s="5">
        <v>1757</v>
      </c>
      <c r="B1818" s="138">
        <f>'Tax Sched 23'!E14</f>
        <v>46782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3867222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13552000</v>
      </c>
      <c r="C1939" s="2" t="s">
        <v>594</v>
      </c>
      <c r="D1939" s="2" t="str">
        <f t="shared" si="29"/>
        <v>Error?</v>
      </c>
    </row>
    <row r="1940" spans="1:5" x14ac:dyDescent="0.2">
      <c r="A1940" s="5">
        <v>1879</v>
      </c>
      <c r="B1940" s="138">
        <f>'Short-Term Long-Term Debt 24'!F49</f>
        <v>137000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46210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46210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46210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386397</v>
      </c>
      <c r="D2008" s="2" t="str">
        <f t="shared" si="30"/>
        <v>Error?</v>
      </c>
    </row>
    <row r="2009" spans="1:4" x14ac:dyDescent="0.2">
      <c r="A2009" s="5">
        <v>1948</v>
      </c>
      <c r="B2009" s="138">
        <f>'Cap Outlay Deprec 26'!C8</f>
        <v>18908558</v>
      </c>
      <c r="D2009" s="2" t="str">
        <f t="shared" si="30"/>
        <v>Error?</v>
      </c>
    </row>
    <row r="2010" spans="1:4" x14ac:dyDescent="0.2">
      <c r="A2010" s="5">
        <v>1949</v>
      </c>
      <c r="B2010" s="138">
        <f>'Cap Outlay Deprec 26'!C10</f>
        <v>473319</v>
      </c>
      <c r="D2010" s="2" t="str">
        <f t="shared" si="30"/>
        <v>Error?</v>
      </c>
    </row>
    <row r="2011" spans="1:4" x14ac:dyDescent="0.2">
      <c r="A2011" s="5">
        <v>1950</v>
      </c>
      <c r="B2011" s="138">
        <f>'Cap Outlay Deprec 26'!C12</f>
        <v>1637507</v>
      </c>
      <c r="D2011" s="2" t="str">
        <f t="shared" si="30"/>
        <v>Error?</v>
      </c>
    </row>
    <row r="2012" spans="1:4" x14ac:dyDescent="0.2">
      <c r="A2012" s="5">
        <v>1951</v>
      </c>
      <c r="B2012" s="138">
        <f>'Cap Outlay Deprec 26'!C13</f>
        <v>937401</v>
      </c>
      <c r="D2012" s="2" t="str">
        <f t="shared" si="30"/>
        <v>Error?</v>
      </c>
    </row>
    <row r="2013" spans="1:4" x14ac:dyDescent="0.2">
      <c r="A2013" s="5">
        <v>1952</v>
      </c>
      <c r="B2013" s="138">
        <f>'Cap Outlay Deprec 26'!C16</f>
        <v>22343182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243220</v>
      </c>
      <c r="D2016" s="2" t="str">
        <f t="shared" si="30"/>
        <v>Error?</v>
      </c>
    </row>
    <row r="2017" spans="1:4" x14ac:dyDescent="0.2">
      <c r="A2017" s="5">
        <v>1956</v>
      </c>
      <c r="B2017" s="138">
        <f>'Cap Outlay Deprec 26'!D12</f>
        <v>60990</v>
      </c>
      <c r="D2017" s="2" t="str">
        <f t="shared" si="30"/>
        <v>Error?</v>
      </c>
    </row>
    <row r="2018" spans="1:4" x14ac:dyDescent="0.2">
      <c r="A2018" s="5">
        <v>1957</v>
      </c>
      <c r="B2018" s="138">
        <f>'Cap Outlay Deprec 26'!D13</f>
        <v>137000</v>
      </c>
      <c r="D2018" s="2" t="str">
        <f t="shared" si="30"/>
        <v>Error?</v>
      </c>
    </row>
    <row r="2019" spans="1:4" x14ac:dyDescent="0.2">
      <c r="A2019" s="5">
        <v>1958</v>
      </c>
      <c r="B2019" s="138">
        <f>'Cap Outlay Deprec 26'!D16</f>
        <v>441210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386397</v>
      </c>
      <c r="C2026" s="2" t="s">
        <v>594</v>
      </c>
      <c r="D2026" s="2" t="str">
        <f t="shared" si="30"/>
        <v>Error?</v>
      </c>
    </row>
    <row r="2027" spans="1:4" x14ac:dyDescent="0.2">
      <c r="A2027" s="5">
        <v>1966</v>
      </c>
      <c r="B2027" s="138">
        <f>'Cap Outlay Deprec 26'!F8</f>
        <v>18908558</v>
      </c>
      <c r="C2027" s="2" t="s">
        <v>594</v>
      </c>
      <c r="D2027" s="2" t="str">
        <f t="shared" si="30"/>
        <v>Error?</v>
      </c>
    </row>
    <row r="2028" spans="1:4" x14ac:dyDescent="0.2">
      <c r="A2028" s="5">
        <v>1967</v>
      </c>
      <c r="B2028" s="138">
        <f>'Cap Outlay Deprec 26'!F10</f>
        <v>716539</v>
      </c>
      <c r="C2028" s="2" t="s">
        <v>594</v>
      </c>
      <c r="D2028" s="2" t="str">
        <f t="shared" si="30"/>
        <v>Error?</v>
      </c>
    </row>
    <row r="2029" spans="1:4" x14ac:dyDescent="0.2">
      <c r="A2029" s="5">
        <v>1968</v>
      </c>
      <c r="B2029" s="138">
        <f>'Cap Outlay Deprec 26'!F12</f>
        <v>1698497</v>
      </c>
      <c r="C2029" s="2" t="s">
        <v>594</v>
      </c>
      <c r="D2029" s="2" t="str">
        <f t="shared" si="30"/>
        <v>Error?</v>
      </c>
    </row>
    <row r="2030" spans="1:4" x14ac:dyDescent="0.2">
      <c r="A2030" s="5">
        <v>1969</v>
      </c>
      <c r="B2030" s="138">
        <f>'Cap Outlay Deprec 26'!F13</f>
        <v>1074401</v>
      </c>
      <c r="C2030" s="2" t="s">
        <v>594</v>
      </c>
      <c r="D2030" s="2" t="str">
        <f t="shared" si="30"/>
        <v>Error?</v>
      </c>
    </row>
    <row r="2031" spans="1:4" x14ac:dyDescent="0.2">
      <c r="A2031" s="5">
        <v>1970</v>
      </c>
      <c r="B2031" s="138">
        <f>'Cap Outlay Deprec 26'!F16</f>
        <v>22784392</v>
      </c>
      <c r="C2031" s="2" t="s">
        <v>594</v>
      </c>
      <c r="D2031" s="2" t="str">
        <f t="shared" si="30"/>
        <v>Error?</v>
      </c>
    </row>
    <row r="2032" spans="1:4" x14ac:dyDescent="0.2">
      <c r="A2032" s="10">
        <v>1971</v>
      </c>
      <c r="D2032" s="2" t="str">
        <f t="shared" si="30"/>
        <v>OK</v>
      </c>
    </row>
    <row r="2033" spans="1:4" x14ac:dyDescent="0.2">
      <c r="A2033" s="5">
        <v>1972</v>
      </c>
      <c r="B2033" s="138">
        <f>'Cap Outlay Deprec 26'!H8</f>
        <v>4911372</v>
      </c>
      <c r="D2033" s="2" t="str">
        <f t="shared" si="30"/>
        <v>Error?</v>
      </c>
    </row>
    <row r="2034" spans="1:4" x14ac:dyDescent="0.2">
      <c r="A2034" s="5">
        <v>1973</v>
      </c>
      <c r="B2034" s="138">
        <f>'Cap Outlay Deprec 26'!H10</f>
        <v>333596</v>
      </c>
      <c r="D2034" s="2" t="str">
        <f t="shared" si="30"/>
        <v>Error?</v>
      </c>
    </row>
    <row r="2035" spans="1:4" x14ac:dyDescent="0.2">
      <c r="A2035" s="5">
        <v>1974</v>
      </c>
      <c r="B2035" s="138">
        <f>'Cap Outlay Deprec 26'!H12</f>
        <v>1512586</v>
      </c>
      <c r="D2035" s="2" t="str">
        <f t="shared" si="30"/>
        <v>Error?</v>
      </c>
    </row>
    <row r="2036" spans="1:4" x14ac:dyDescent="0.2">
      <c r="A2036" s="5">
        <v>1975</v>
      </c>
      <c r="B2036" s="138">
        <f>'Cap Outlay Deprec 26'!H13</f>
        <v>804192</v>
      </c>
      <c r="D2036" s="2" t="str">
        <f t="shared" si="30"/>
        <v>Error?</v>
      </c>
    </row>
    <row r="2037" spans="1:4" x14ac:dyDescent="0.2">
      <c r="A2037" s="5">
        <v>1976</v>
      </c>
      <c r="B2037" s="138">
        <f>'Cap Outlay Deprec 26'!H16</f>
        <v>7561746</v>
      </c>
      <c r="C2037" s="2" t="s">
        <v>594</v>
      </c>
      <c r="D2037" s="2" t="str">
        <f t="shared" si="30"/>
        <v>Error?</v>
      </c>
    </row>
    <row r="2038" spans="1:4" x14ac:dyDescent="0.2">
      <c r="A2038" s="10">
        <v>1977</v>
      </c>
      <c r="D2038" s="2" t="str">
        <f t="shared" si="30"/>
        <v>OK</v>
      </c>
    </row>
    <row r="2039" spans="1:4" x14ac:dyDescent="0.2">
      <c r="A2039" s="5">
        <v>1978</v>
      </c>
      <c r="B2039" s="138">
        <f>'Cap Outlay Deprec 26'!I8</f>
        <v>377747</v>
      </c>
      <c r="D2039" s="2" t="str">
        <f t="shared" si="30"/>
        <v>Error?</v>
      </c>
    </row>
    <row r="2040" spans="1:4" x14ac:dyDescent="0.2">
      <c r="A2040" s="5">
        <v>1979</v>
      </c>
      <c r="B2040" s="138">
        <f>'Cap Outlay Deprec 26'!I10</f>
        <v>27833</v>
      </c>
      <c r="D2040" s="2" t="str">
        <f t="shared" si="30"/>
        <v>Error?</v>
      </c>
    </row>
    <row r="2041" spans="1:4" x14ac:dyDescent="0.2">
      <c r="A2041" s="5">
        <v>1980</v>
      </c>
      <c r="B2041" s="138">
        <f>'Cap Outlay Deprec 26'!I12</f>
        <v>29607</v>
      </c>
      <c r="D2041" s="2" t="str">
        <f t="shared" si="30"/>
        <v>Error?</v>
      </c>
    </row>
    <row r="2042" spans="1:4" x14ac:dyDescent="0.2">
      <c r="A2042" s="5">
        <v>1981</v>
      </c>
      <c r="B2042" s="138">
        <f>'Cap Outlay Deprec 26'!I13</f>
        <v>46756</v>
      </c>
      <c r="D2042" s="2" t="str">
        <f t="shared" si="30"/>
        <v>Error?</v>
      </c>
    </row>
    <row r="2043" spans="1:4" x14ac:dyDescent="0.2">
      <c r="A2043" s="5">
        <v>1982</v>
      </c>
      <c r="B2043" s="138">
        <f>'Cap Outlay Deprec 26'!I16</f>
        <v>481943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5289119</v>
      </c>
      <c r="C2051" s="2" t="s">
        <v>594</v>
      </c>
      <c r="D2051" s="2" t="str">
        <f t="shared" si="31"/>
        <v>Error?</v>
      </c>
    </row>
    <row r="2052" spans="1:4" x14ac:dyDescent="0.2">
      <c r="A2052" s="5">
        <v>1991</v>
      </c>
      <c r="B2052" s="138">
        <f>'Cap Outlay Deprec 26'!K10</f>
        <v>361429</v>
      </c>
      <c r="C2052" s="2" t="s">
        <v>594</v>
      </c>
      <c r="D2052" s="2" t="str">
        <f t="shared" si="31"/>
        <v>Error?</v>
      </c>
    </row>
    <row r="2053" spans="1:4" x14ac:dyDescent="0.2">
      <c r="A2053" s="5">
        <v>1992</v>
      </c>
      <c r="B2053" s="138">
        <f>'Cap Outlay Deprec 26'!K12</f>
        <v>1542193</v>
      </c>
      <c r="C2053" s="2" t="s">
        <v>594</v>
      </c>
      <c r="D2053" s="2" t="str">
        <f t="shared" si="31"/>
        <v>Error?</v>
      </c>
    </row>
    <row r="2054" spans="1:4" x14ac:dyDescent="0.2">
      <c r="A2054" s="5">
        <v>1993</v>
      </c>
      <c r="B2054" s="138">
        <f>'Cap Outlay Deprec 26'!K13</f>
        <v>850948</v>
      </c>
      <c r="C2054" s="2" t="s">
        <v>594</v>
      </c>
      <c r="D2054" s="2" t="str">
        <f t="shared" si="31"/>
        <v>Error?</v>
      </c>
    </row>
    <row r="2055" spans="1:4" x14ac:dyDescent="0.2">
      <c r="A2055" s="5">
        <v>1994</v>
      </c>
      <c r="B2055" s="138">
        <f>'Cap Outlay Deprec 26'!K16</f>
        <v>8043689</v>
      </c>
      <c r="C2055" s="2" t="s">
        <v>594</v>
      </c>
      <c r="D2055" s="2" t="str">
        <f t="shared" si="31"/>
        <v>Error?</v>
      </c>
    </row>
    <row r="2056" spans="1:4" x14ac:dyDescent="0.2">
      <c r="A2056" s="5">
        <v>1995</v>
      </c>
      <c r="B2056" s="138">
        <f>'Cap Outlay Deprec 26'!L5</f>
        <v>386397</v>
      </c>
      <c r="C2056" s="2" t="s">
        <v>594</v>
      </c>
      <c r="D2056" s="2" t="str">
        <f t="shared" si="31"/>
        <v>Error?</v>
      </c>
    </row>
    <row r="2057" spans="1:4" x14ac:dyDescent="0.2">
      <c r="A2057" s="5">
        <v>1996</v>
      </c>
      <c r="B2057" s="138">
        <f>'Cap Outlay Deprec 26'!L8</f>
        <v>13619439</v>
      </c>
      <c r="C2057" s="2" t="s">
        <v>594</v>
      </c>
      <c r="D2057" s="2" t="str">
        <f t="shared" si="31"/>
        <v>Error?</v>
      </c>
    </row>
    <row r="2058" spans="1:4" x14ac:dyDescent="0.2">
      <c r="A2058" s="5">
        <v>1997</v>
      </c>
      <c r="B2058" s="138">
        <f>'Cap Outlay Deprec 26'!L10</f>
        <v>355110</v>
      </c>
      <c r="C2058" s="2" t="s">
        <v>594</v>
      </c>
      <c r="D2058" s="2" t="str">
        <f t="shared" si="31"/>
        <v>Error?</v>
      </c>
    </row>
    <row r="2059" spans="1:4" x14ac:dyDescent="0.2">
      <c r="A2059" s="5">
        <v>1998</v>
      </c>
      <c r="B2059" s="138">
        <f>'Cap Outlay Deprec 26'!L12</f>
        <v>156304</v>
      </c>
      <c r="C2059" s="2" t="s">
        <v>594</v>
      </c>
      <c r="D2059" s="2" t="str">
        <f t="shared" si="31"/>
        <v>Error?</v>
      </c>
    </row>
    <row r="2060" spans="1:4" x14ac:dyDescent="0.2">
      <c r="A2060" s="5">
        <v>1999</v>
      </c>
      <c r="B2060" s="138">
        <f>'Cap Outlay Deprec 26'!L13</f>
        <v>223453</v>
      </c>
      <c r="C2060" s="2" t="s">
        <v>594</v>
      </c>
      <c r="D2060" s="2" t="str">
        <f t="shared" si="31"/>
        <v>Error?</v>
      </c>
    </row>
    <row r="2061" spans="1:4" x14ac:dyDescent="0.2">
      <c r="A2061" s="5">
        <v>2000</v>
      </c>
      <c r="B2061" s="138">
        <f>'Cap Outlay Deprec 26'!L16</f>
        <v>14740703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1186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97127</v>
      </c>
      <c r="C2088" s="2" t="s">
        <v>594</v>
      </c>
      <c r="D2088" s="2" t="str">
        <f t="shared" si="31"/>
        <v>Error?</v>
      </c>
    </row>
    <row r="2089" spans="1:4" x14ac:dyDescent="0.2">
      <c r="A2089" s="5">
        <v>2028</v>
      </c>
      <c r="B2089" s="138">
        <f>'Expenditures 15-22'!K92</f>
        <v>71674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6499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97494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3063052</v>
      </c>
      <c r="C2551" s="2" t="s">
        <v>594</v>
      </c>
      <c r="D2551" s="2" t="str">
        <f t="shared" si="38"/>
        <v>Error?</v>
      </c>
    </row>
    <row r="2552" spans="1:4" x14ac:dyDescent="0.2">
      <c r="A2552" s="10">
        <v>2491</v>
      </c>
      <c r="D2552" s="2" t="str">
        <f t="shared" si="38"/>
        <v>OK</v>
      </c>
    </row>
    <row r="2553" spans="1:4" x14ac:dyDescent="0.2">
      <c r="A2553" s="5">
        <v>2492</v>
      </c>
      <c r="B2553" s="138">
        <f>'Acct Summary 7-8'!C6</f>
        <v>1680688</v>
      </c>
      <c r="C2553" s="2" t="s">
        <v>594</v>
      </c>
      <c r="D2553" s="2" t="str">
        <f t="shared" si="38"/>
        <v>Error?</v>
      </c>
    </row>
    <row r="2554" spans="1:4" x14ac:dyDescent="0.2">
      <c r="A2554" s="5">
        <v>2493</v>
      </c>
      <c r="B2554" s="138">
        <f>'Acct Summary 7-8'!C7</f>
        <v>388138</v>
      </c>
      <c r="C2554" s="2" t="s">
        <v>594</v>
      </c>
      <c r="D2554" s="2" t="str">
        <f t="shared" si="38"/>
        <v>Error?</v>
      </c>
    </row>
    <row r="2555" spans="1:4" x14ac:dyDescent="0.2">
      <c r="A2555" s="5">
        <v>2494</v>
      </c>
      <c r="B2555" s="138">
        <f>'Acct Summary 7-8'!C8</f>
        <v>5131878</v>
      </c>
      <c r="C2555" s="2" t="s">
        <v>594</v>
      </c>
      <c r="D2555" s="2" t="str">
        <f t="shared" si="38"/>
        <v>Error?</v>
      </c>
    </row>
    <row r="2556" spans="1:4" x14ac:dyDescent="0.2">
      <c r="A2556" s="5">
        <v>2495</v>
      </c>
      <c r="B2556" s="138">
        <f>'Acct Summary 7-8'!C12</f>
        <v>3403006</v>
      </c>
      <c r="C2556" s="2" t="s">
        <v>594</v>
      </c>
      <c r="D2556" s="2" t="str">
        <f t="shared" si="38"/>
        <v>Error?</v>
      </c>
    </row>
    <row r="2557" spans="1:4" x14ac:dyDescent="0.2">
      <c r="A2557" s="5">
        <v>2496</v>
      </c>
      <c r="B2557" s="138">
        <f>'Acct Summary 7-8'!C13</f>
        <v>1410057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168801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4981864</v>
      </c>
      <c r="C2561" s="2" t="s">
        <v>594</v>
      </c>
      <c r="D2561" s="2" t="str">
        <f t="shared" si="39"/>
        <v>Error?</v>
      </c>
    </row>
    <row r="2562" spans="1:4" x14ac:dyDescent="0.2">
      <c r="A2562" s="5">
        <v>2501</v>
      </c>
      <c r="B2562" s="138">
        <f>'Acct Summary 7-8'!C20</f>
        <v>150014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442805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442805</v>
      </c>
      <c r="C2568" s="2" t="s">
        <v>594</v>
      </c>
      <c r="D2568" s="2" t="str">
        <f t="shared" si="39"/>
        <v>Error?</v>
      </c>
    </row>
    <row r="2569" spans="1:4" x14ac:dyDescent="0.2">
      <c r="A2569" s="5">
        <v>2508</v>
      </c>
      <c r="B2569" s="138">
        <f>'Acct Summary 7-8'!D13</f>
        <v>632981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632981</v>
      </c>
      <c r="C2573" s="2" t="s">
        <v>594</v>
      </c>
      <c r="D2573" s="2" t="str">
        <f t="shared" si="39"/>
        <v>Error?</v>
      </c>
    </row>
    <row r="2574" spans="1:4" x14ac:dyDescent="0.2">
      <c r="A2574" s="5">
        <v>2513</v>
      </c>
      <c r="B2574" s="138">
        <f>'Acct Summary 7-8'!D20</f>
        <v>-190176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196326</v>
      </c>
      <c r="C2591" s="2" t="s">
        <v>594</v>
      </c>
      <c r="D2591" s="2" t="str">
        <f t="shared" si="39"/>
        <v>Error?</v>
      </c>
    </row>
    <row r="2592" spans="1:4" x14ac:dyDescent="0.2">
      <c r="A2592" s="10">
        <v>2531</v>
      </c>
      <c r="D2592" s="2" t="str">
        <f t="shared" si="39"/>
        <v>OK</v>
      </c>
    </row>
    <row r="2593" spans="1:4" x14ac:dyDescent="0.2">
      <c r="A2593" s="5">
        <v>2532</v>
      </c>
      <c r="B2593" s="138">
        <f>'Acct Summary 7-8'!F6</f>
        <v>168248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364574</v>
      </c>
      <c r="C2595" s="2" t="s">
        <v>594</v>
      </c>
      <c r="D2595" s="2" t="str">
        <f t="shared" si="39"/>
        <v>Error?</v>
      </c>
    </row>
    <row r="2596" spans="1:4" x14ac:dyDescent="0.2">
      <c r="A2596" s="5">
        <v>2535</v>
      </c>
      <c r="B2596" s="138">
        <f>'Acct Summary 7-8'!F13</f>
        <v>366084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47500</v>
      </c>
      <c r="C2599" s="2" t="s">
        <v>594</v>
      </c>
      <c r="D2599" s="2" t="str">
        <f t="shared" si="39"/>
        <v>Error?</v>
      </c>
    </row>
    <row r="2600" spans="1:4" x14ac:dyDescent="0.2">
      <c r="A2600" s="5">
        <v>2539</v>
      </c>
      <c r="B2600" s="138">
        <f>'Acct Summary 7-8'!F17</f>
        <v>413584</v>
      </c>
      <c r="C2600" s="2" t="s">
        <v>594</v>
      </c>
      <c r="D2600" s="2" t="str">
        <f t="shared" si="39"/>
        <v>Error?</v>
      </c>
    </row>
    <row r="2601" spans="1:4" x14ac:dyDescent="0.2">
      <c r="A2601" s="5">
        <v>2540</v>
      </c>
      <c r="B2601" s="138">
        <f>'Acct Summary 7-8'!F20</f>
        <v>-49010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178224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178224</v>
      </c>
      <c r="C2606" s="2" t="s">
        <v>594</v>
      </c>
      <c r="D2606" s="2" t="str">
        <f t="shared" si="39"/>
        <v>Error?</v>
      </c>
    </row>
    <row r="2607" spans="1:4" x14ac:dyDescent="0.2">
      <c r="A2607" s="5">
        <v>2546</v>
      </c>
      <c r="B2607" s="138">
        <f>'Acct Summary 7-8'!G12</f>
        <v>81395</v>
      </c>
      <c r="C2607" s="2" t="s">
        <v>594</v>
      </c>
      <c r="D2607" s="2" t="str">
        <f t="shared" si="39"/>
        <v>Error?</v>
      </c>
    </row>
    <row r="2608" spans="1:4" x14ac:dyDescent="0.2">
      <c r="A2608" s="5">
        <v>2547</v>
      </c>
      <c r="B2608" s="138">
        <f>'Acct Summary 7-8'!G13</f>
        <v>101471</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182866</v>
      </c>
      <c r="C2612" s="2" t="s">
        <v>594</v>
      </c>
      <c r="D2612" s="2" t="str">
        <f t="shared" si="39"/>
        <v>Error?</v>
      </c>
    </row>
    <row r="2613" spans="1:4" x14ac:dyDescent="0.2">
      <c r="A2613" s="5">
        <v>2552</v>
      </c>
      <c r="B2613" s="138">
        <f>'Acct Summary 7-8'!G20</f>
        <v>-4642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1024207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1133194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979813</v>
      </c>
      <c r="C2634" s="2" t="s">
        <v>594</v>
      </c>
      <c r="D2634" s="2" t="str">
        <f t="shared" si="40"/>
        <v>Error?</v>
      </c>
    </row>
    <row r="2635" spans="1:4" x14ac:dyDescent="0.2">
      <c r="A2635" s="5">
        <v>2574</v>
      </c>
      <c r="B2635" s="138">
        <f>'Acct Summary 7-8'!E17</f>
        <v>979813</v>
      </c>
      <c r="C2635" s="2" t="s">
        <v>594</v>
      </c>
      <c r="D2635" s="2" t="str">
        <f t="shared" si="40"/>
        <v>Error?</v>
      </c>
    </row>
    <row r="2636" spans="1:4" x14ac:dyDescent="0.2">
      <c r="A2636" s="5">
        <v>2575</v>
      </c>
      <c r="B2636" s="138">
        <f>'Acct Summary 7-8'!E20</f>
        <v>153381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95941</v>
      </c>
      <c r="C2789" s="2" t="s">
        <v>594</v>
      </c>
      <c r="D2789" s="2" t="str">
        <f t="shared" si="42"/>
        <v>Error?</v>
      </c>
    </row>
    <row r="2790" spans="1:4" x14ac:dyDescent="0.2">
      <c r="A2790" s="5">
        <v>2729</v>
      </c>
      <c r="B2790" s="138">
        <f>'Expenditures 15-22'!E102</f>
        <v>95941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879000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924748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58191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924748</v>
      </c>
      <c r="D2912" s="2" t="str">
        <f t="shared" si="44"/>
        <v>Error?</v>
      </c>
    </row>
    <row r="2913" spans="1:4" x14ac:dyDescent="0.2">
      <c r="A2913" s="5">
        <v>2852</v>
      </c>
      <c r="B2913" s="138">
        <f>'Assets-Liab 5-6'!I41</f>
        <v>924748</v>
      </c>
      <c r="C2913" s="2" t="s">
        <v>594</v>
      </c>
      <c r="D2913" s="2" t="str">
        <f t="shared" si="44"/>
        <v>Error?</v>
      </c>
    </row>
    <row r="2914" spans="1:4" x14ac:dyDescent="0.2">
      <c r="A2914" s="5">
        <v>2853</v>
      </c>
      <c r="B2914" s="138">
        <f>'Assets-Liab 5-6'!L33</f>
        <v>58191</v>
      </c>
      <c r="D2914" s="2" t="str">
        <f t="shared" si="44"/>
        <v>Error?</v>
      </c>
    </row>
    <row r="2915" spans="1:4" x14ac:dyDescent="0.2">
      <c r="A2915" s="10">
        <v>2854</v>
      </c>
      <c r="D2915" s="2" t="str">
        <f t="shared" si="44"/>
        <v>OK</v>
      </c>
    </row>
    <row r="2916" spans="1:4" x14ac:dyDescent="0.2">
      <c r="A2916" s="5">
        <v>2855</v>
      </c>
      <c r="B2916" s="138">
        <f>'Assets-Liab 5-6'!L34</f>
        <v>58191</v>
      </c>
      <c r="C2916" s="2" t="s">
        <v>594</v>
      </c>
      <c r="D2916" s="2" t="str">
        <f t="shared" si="44"/>
        <v>Error?</v>
      </c>
    </row>
    <row r="2917" spans="1:4" x14ac:dyDescent="0.2">
      <c r="A2917" s="5">
        <v>2856</v>
      </c>
      <c r="B2917" s="138">
        <f>'Assets-Liab 5-6'!L41</f>
        <v>58191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95941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1186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95941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1186</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113579</v>
      </c>
      <c r="D3055" s="2" t="str">
        <f t="shared" si="46"/>
        <v>Error?</v>
      </c>
    </row>
    <row r="3056" spans="1:4" x14ac:dyDescent="0.2">
      <c r="A3056" s="5">
        <v>2995</v>
      </c>
      <c r="B3056" s="138">
        <f>'Expenditures 15-22'!D10</f>
        <v>19983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8579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148084</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12287</v>
      </c>
      <c r="C3225" s="2" t="s">
        <v>594</v>
      </c>
      <c r="D3225" s="2" t="str">
        <f t="shared" si="49"/>
        <v>Error?</v>
      </c>
    </row>
    <row r="3226" spans="1:4" x14ac:dyDescent="0.2">
      <c r="A3226" s="5">
        <v>3165</v>
      </c>
      <c r="B3226" s="138">
        <f>'Acct Summary 7-8'!I8</f>
        <v>12287</v>
      </c>
      <c r="C3226" s="2" t="s">
        <v>594</v>
      </c>
      <c r="D3226" s="2" t="str">
        <f t="shared" si="49"/>
        <v>Error?</v>
      </c>
    </row>
    <row r="3227" spans="1:4" x14ac:dyDescent="0.2">
      <c r="A3227" s="5">
        <v>3166</v>
      </c>
      <c r="B3227" s="138">
        <f>'Acct Summary 7-8'!I20</f>
        <v>12287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6499</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6499</v>
      </c>
      <c r="C3232" s="2" t="s">
        <v>594</v>
      </c>
      <c r="D3232" s="2" t="str">
        <f t="shared" si="49"/>
        <v>Error?</v>
      </c>
    </row>
    <row r="3233" spans="1:4" x14ac:dyDescent="0.2">
      <c r="A3233" s="5">
        <v>3172</v>
      </c>
      <c r="B3233" s="138">
        <f>'Acct Summary 7-8'!C78</f>
        <v>156513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-190176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137000</v>
      </c>
      <c r="D3251" s="2" t="str">
        <f t="shared" si="49"/>
        <v>Error?</v>
      </c>
    </row>
    <row r="3252" spans="1:4" x14ac:dyDescent="0.2">
      <c r="A3252" s="5">
        <v>3191</v>
      </c>
      <c r="B3252" s="138">
        <f>'Acct Summary 7-8'!F44</f>
        <v>137000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137000</v>
      </c>
      <c r="C3255" s="2" t="s">
        <v>594</v>
      </c>
      <c r="D3255" s="2" t="str">
        <f t="shared" si="49"/>
        <v>Error?</v>
      </c>
    </row>
    <row r="3256" spans="1:4" x14ac:dyDescent="0.2">
      <c r="A3256" s="5">
        <v>3195</v>
      </c>
      <c r="B3256" s="138">
        <f>'Acct Summary 7-8'!F78</f>
        <v>87990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-4642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153381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6499</v>
      </c>
      <c r="C3318" s="2" t="s">
        <v>594</v>
      </c>
      <c r="D3318" s="2" t="str">
        <f t="shared" si="50"/>
        <v>Error?</v>
      </c>
    </row>
    <row r="3319" spans="1:4" x14ac:dyDescent="0.2">
      <c r="A3319" s="5">
        <v>3258</v>
      </c>
      <c r="B3319" s="138">
        <f>'Acct Summary 7-8'!I77</f>
        <v>-6499</v>
      </c>
      <c r="C3319" s="2" t="s">
        <v>594</v>
      </c>
      <c r="D3319" s="2" t="str">
        <f t="shared" si="50"/>
        <v>Error?</v>
      </c>
    </row>
    <row r="3320" spans="1:4" x14ac:dyDescent="0.2">
      <c r="A3320" s="5">
        <v>3259</v>
      </c>
      <c r="B3320" s="138">
        <f>'Acct Summary 7-8'!I78</f>
        <v>5788</v>
      </c>
      <c r="C3320" s="2" t="s">
        <v>594</v>
      </c>
      <c r="D3320" s="2" t="str">
        <f t="shared" si="50"/>
        <v>Error?</v>
      </c>
    </row>
    <row r="3321" spans="1:4" x14ac:dyDescent="0.2">
      <c r="A3321" s="5">
        <v>3260</v>
      </c>
      <c r="B3321" s="138">
        <f>'Acct Summary 7-8'!I79</f>
        <v>918960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924748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464867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123876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589338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41006</v>
      </c>
      <c r="D3387" s="2" t="str">
        <f t="shared" si="51"/>
        <v>Error?</v>
      </c>
    </row>
    <row r="3388" spans="1:4" x14ac:dyDescent="0.2">
      <c r="A3388" s="5">
        <v>3327</v>
      </c>
      <c r="B3388" s="138">
        <f>'Expenditures 15-22'!D217</f>
        <v>35732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41006</v>
      </c>
      <c r="C3390" s="2" t="s">
        <v>594</v>
      </c>
      <c r="D3390" s="2" t="str">
        <f t="shared" si="51"/>
        <v>Error?</v>
      </c>
    </row>
    <row r="3391" spans="1:4" x14ac:dyDescent="0.2">
      <c r="A3391" s="5">
        <v>3330</v>
      </c>
      <c r="B3391" s="138">
        <f>'Expenditures 15-22'!K217</f>
        <v>35732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998783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216139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323644</v>
      </c>
      <c r="D3417" s="2" t="str">
        <f t="shared" si="52"/>
        <v>Error?</v>
      </c>
    </row>
    <row r="3418" spans="1:4" x14ac:dyDescent="0.2">
      <c r="A3418" s="10">
        <v>3357</v>
      </c>
      <c r="D3418" s="2" t="str">
        <f t="shared" si="52"/>
        <v>OK</v>
      </c>
    </row>
    <row r="3419" spans="1:4" x14ac:dyDescent="0.2">
      <c r="A3419" s="5">
        <v>3358</v>
      </c>
      <c r="B3419" s="138">
        <f>'Assets-Liab 5-6'!F4</f>
        <v>164506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97494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533</v>
      </c>
      <c r="D3425" s="2" t="str">
        <f t="shared" si="52"/>
        <v>Error?</v>
      </c>
    </row>
    <row r="3426" spans="1:4" x14ac:dyDescent="0.2">
      <c r="A3426" s="10">
        <v>3365</v>
      </c>
      <c r="D3426" s="2" t="str">
        <f t="shared" si="52"/>
        <v>OK</v>
      </c>
    </row>
    <row r="3427" spans="1:4" x14ac:dyDescent="0.2">
      <c r="A3427" s="5">
        <v>3366</v>
      </c>
      <c r="B3427" s="138">
        <f>'Assets-Liab 5-6'!I4</f>
        <v>45748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58191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87460</v>
      </c>
      <c r="C3446" s="2" t="s">
        <v>594</v>
      </c>
      <c r="D3446" s="2" t="str">
        <f t="shared" si="52"/>
        <v>Error?</v>
      </c>
    </row>
    <row r="3447" spans="1:4" x14ac:dyDescent="0.2">
      <c r="A3447" s="5">
        <v>3386</v>
      </c>
      <c r="B3447" s="138">
        <f>'Tax Sched 23'!D16</f>
        <v>35670</v>
      </c>
      <c r="C3447" s="2" t="s">
        <v>594</v>
      </c>
      <c r="D3447" s="2" t="str">
        <f t="shared" si="52"/>
        <v>Error?</v>
      </c>
    </row>
    <row r="3448" spans="1:4" x14ac:dyDescent="0.2">
      <c r="A3448" s="5">
        <v>3387</v>
      </c>
      <c r="B3448" s="138">
        <f>'Tax Sched 23'!C16</f>
        <v>51790</v>
      </c>
      <c r="D3448" s="2" t="str">
        <f t="shared" si="52"/>
        <v>Error?</v>
      </c>
    </row>
    <row r="3449" spans="1:4" x14ac:dyDescent="0.2">
      <c r="A3449" s="5">
        <v>3388</v>
      </c>
      <c r="B3449" s="138">
        <f>'Tax Sched 23'!F16</f>
        <v>37300</v>
      </c>
      <c r="C3449" s="2" t="s">
        <v>594</v>
      </c>
      <c r="D3449" s="2" t="str">
        <f t="shared" si="52"/>
        <v>Error?</v>
      </c>
    </row>
    <row r="3450" spans="1:4" x14ac:dyDescent="0.2">
      <c r="A3450" s="5">
        <v>3389</v>
      </c>
      <c r="B3450" s="138">
        <f>'Tax Sched 23'!E16</f>
        <v>89090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23672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105000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128672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128672</v>
      </c>
      <c r="D3567" s="2" t="str">
        <f t="shared" si="54"/>
        <v>Error?</v>
      </c>
    </row>
    <row r="3568" spans="1:4" x14ac:dyDescent="0.2">
      <c r="A3568" s="5">
        <v>3507</v>
      </c>
      <c r="B3568" s="138">
        <f>'Assets-Liab 5-6'!K41</f>
        <v>128672</v>
      </c>
      <c r="C3568" s="2" t="s">
        <v>594</v>
      </c>
      <c r="D3568" s="2" t="str">
        <f t="shared" si="54"/>
        <v>Error?</v>
      </c>
    </row>
    <row r="3569" spans="1:4" x14ac:dyDescent="0.2">
      <c r="A3569" s="5">
        <v>3508</v>
      </c>
      <c r="B3569" s="138">
        <f>'Acct Summary 7-8'!K4</f>
        <v>37220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37220</v>
      </c>
      <c r="C3571" s="2" t="s">
        <v>594</v>
      </c>
      <c r="D3571" s="2" t="str">
        <f t="shared" si="54"/>
        <v>Error?</v>
      </c>
    </row>
    <row r="3572" spans="1:4" x14ac:dyDescent="0.2">
      <c r="A3572" s="5">
        <v>3511</v>
      </c>
      <c r="B3572" s="138">
        <f>'Acct Summary 7-8'!K13</f>
        <v>6794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6794</v>
      </c>
      <c r="C3575" s="2" t="s">
        <v>594</v>
      </c>
      <c r="D3575" s="2" t="str">
        <f t="shared" si="54"/>
        <v>Error?</v>
      </c>
    </row>
    <row r="3576" spans="1:4" x14ac:dyDescent="0.2">
      <c r="A3576" s="5">
        <v>3515</v>
      </c>
      <c r="B3576" s="138">
        <f>'Acct Summary 7-8'!K20</f>
        <v>30426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30426</v>
      </c>
      <c r="C3588" s="2" t="s">
        <v>594</v>
      </c>
      <c r="D3588" s="2" t="str">
        <f t="shared" si="55"/>
        <v>Error?</v>
      </c>
    </row>
    <row r="3589" spans="1:4" x14ac:dyDescent="0.2">
      <c r="A3589" s="5">
        <v>3528</v>
      </c>
      <c r="B3589" s="138">
        <f>'Acct Summary 7-8'!K79</f>
        <v>98246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128672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6794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6794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6794</v>
      </c>
      <c r="C3635" s="2" t="s">
        <v>594</v>
      </c>
      <c r="D3635" s="2" t="str">
        <f t="shared" si="55"/>
        <v>Error?</v>
      </c>
    </row>
    <row r="3636" spans="1:4" x14ac:dyDescent="0.2">
      <c r="A3636" s="5">
        <v>3575</v>
      </c>
      <c r="B3636" s="138">
        <f>'Expenditures 15-22'!E367</f>
        <v>6794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6794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6794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6794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6794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30426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2107219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7239097</v>
      </c>
      <c r="C4122" s="2" t="s">
        <v>594</v>
      </c>
      <c r="D4122" s="2" t="str">
        <f t="shared" si="63"/>
        <v>Error?</v>
      </c>
    </row>
    <row r="4123" spans="1:4" x14ac:dyDescent="0.2">
      <c r="A4123" s="5">
        <v>4062</v>
      </c>
      <c r="B4123" s="138">
        <f>'Acct Summary 7-8'!D10</f>
        <v>442805</v>
      </c>
      <c r="C4123" s="2" t="s">
        <v>594</v>
      </c>
      <c r="D4123" s="2" t="str">
        <f t="shared" si="63"/>
        <v>Error?</v>
      </c>
    </row>
    <row r="4124" spans="1:4" x14ac:dyDescent="0.2">
      <c r="A4124" s="5">
        <v>4063</v>
      </c>
      <c r="B4124" s="138">
        <f>'Acct Summary 7-8'!E10</f>
        <v>1133194</v>
      </c>
      <c r="C4124" s="2" t="s">
        <v>594</v>
      </c>
      <c r="D4124" s="2" t="str">
        <f t="shared" si="63"/>
        <v>Error?</v>
      </c>
    </row>
    <row r="4125" spans="1:4" x14ac:dyDescent="0.2">
      <c r="A4125" s="5">
        <v>4064</v>
      </c>
      <c r="B4125" s="138">
        <f>'Acct Summary 7-8'!F10</f>
        <v>364574</v>
      </c>
      <c r="C4125" s="2" t="s">
        <v>594</v>
      </c>
      <c r="D4125" s="2" t="str">
        <f t="shared" si="63"/>
        <v>Error?</v>
      </c>
    </row>
    <row r="4126" spans="1:4" x14ac:dyDescent="0.2">
      <c r="A4126" s="5">
        <v>4065</v>
      </c>
      <c r="B4126" s="138">
        <f>'Acct Summary 7-8'!G10</f>
        <v>178224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12287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37220</v>
      </c>
      <c r="C4130" s="2" t="s">
        <v>594</v>
      </c>
      <c r="D4130" s="2" t="str">
        <f t="shared" si="63"/>
        <v>Error?</v>
      </c>
    </row>
    <row r="4131" spans="1:4" x14ac:dyDescent="0.2">
      <c r="A4131" s="5">
        <v>4070</v>
      </c>
      <c r="B4131" s="138">
        <f>'Acct Summary 7-8'!C18</f>
        <v>2107219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7089083</v>
      </c>
      <c r="C4136" s="2" t="s">
        <v>594</v>
      </c>
      <c r="D4136" s="2" t="str">
        <f t="shared" si="63"/>
        <v>Error?</v>
      </c>
    </row>
    <row r="4137" spans="1:4" x14ac:dyDescent="0.2">
      <c r="A4137" s="5">
        <v>4076</v>
      </c>
      <c r="B4137" s="138">
        <f>'Acct Summary 7-8'!D19</f>
        <v>632981</v>
      </c>
      <c r="C4137" s="2" t="s">
        <v>594</v>
      </c>
      <c r="D4137" s="2" t="str">
        <f t="shared" si="63"/>
        <v>Error?</v>
      </c>
    </row>
    <row r="4138" spans="1:4" x14ac:dyDescent="0.2">
      <c r="A4138" s="5">
        <v>4077</v>
      </c>
      <c r="B4138" s="138">
        <f>'Acct Summary 7-8'!E19</f>
        <v>979813</v>
      </c>
      <c r="C4138" s="2" t="s">
        <v>594</v>
      </c>
      <c r="D4138" s="2" t="str">
        <f t="shared" si="63"/>
        <v>Error?</v>
      </c>
    </row>
    <row r="4139" spans="1:4" x14ac:dyDescent="0.2">
      <c r="A4139" s="5">
        <v>4078</v>
      </c>
      <c r="B4139" s="138">
        <f>'Acct Summary 7-8'!F19</f>
        <v>413584</v>
      </c>
      <c r="C4139" s="2" t="s">
        <v>594</v>
      </c>
      <c r="D4139" s="2" t="str">
        <f t="shared" si="63"/>
        <v>Error?</v>
      </c>
    </row>
    <row r="4140" spans="1:4" x14ac:dyDescent="0.2">
      <c r="A4140" s="5">
        <v>4079</v>
      </c>
      <c r="B4140" s="138">
        <f>'Acct Summary 7-8'!G19</f>
        <v>182866</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6794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8361000</v>
      </c>
      <c r="C4171" s="2" t="s">
        <v>594</v>
      </c>
      <c r="D4171" s="2" t="str">
        <f t="shared" si="64"/>
        <v>Error?</v>
      </c>
    </row>
    <row r="4172" spans="1:4" x14ac:dyDescent="0.2">
      <c r="A4172" s="5">
        <v>4111</v>
      </c>
      <c r="B4172" s="138">
        <f>'Short-Term Long-Term Debt 24'!J49</f>
        <v>7694356</v>
      </c>
      <c r="C4172" s="2" t="s">
        <v>594</v>
      </c>
      <c r="D4172" s="2" t="str">
        <f t="shared" si="64"/>
        <v>Error?</v>
      </c>
    </row>
    <row r="4173" spans="1:4" x14ac:dyDescent="0.2">
      <c r="A4173" s="5">
        <v>4112</v>
      </c>
      <c r="B4173" s="138">
        <f>'Short-Term Long-Term Debt 24'!H49</f>
        <v>603000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-4725000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47500</v>
      </c>
      <c r="D4210" s="2" t="str">
        <f t="shared" si="64"/>
        <v>Error?</v>
      </c>
    </row>
    <row r="4211" spans="1:4" x14ac:dyDescent="0.2">
      <c r="A4211" s="5">
        <v>4150</v>
      </c>
      <c r="B4211" s="138">
        <f>'Expenditures 15-22'!K206</f>
        <v>47500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2867.2</v>
      </c>
      <c r="C4265" s="2" t="s">
        <v>594</v>
      </c>
      <c r="D4265" s="2" t="str">
        <f t="shared" si="65"/>
        <v>Error?</v>
      </c>
      <c r="E4265" s="128"/>
    </row>
    <row r="4266" spans="1:5" x14ac:dyDescent="0.2">
      <c r="A4266" s="12">
        <v>4205</v>
      </c>
      <c r="B4266" s="138">
        <f>('FP Info 3'!F10)*100000</f>
        <v>542.4</v>
      </c>
      <c r="C4266" s="2" t="s">
        <v>594</v>
      </c>
      <c r="D4266" s="2" t="str">
        <f t="shared" si="65"/>
        <v>Error?</v>
      </c>
      <c r="E4266" s="128"/>
    </row>
    <row r="4267" spans="1:5" x14ac:dyDescent="0.2">
      <c r="A4267" s="12">
        <v>4206</v>
      </c>
      <c r="B4267" s="138">
        <f>('FP Info 3'!H10)*100000</f>
        <v>248.6</v>
      </c>
      <c r="C4267" s="2" t="s">
        <v>594</v>
      </c>
      <c r="D4267" s="2" t="str">
        <f t="shared" si="65"/>
        <v>Error?</v>
      </c>
      <c r="E4267" s="128"/>
    </row>
    <row r="4268" spans="1:5" x14ac:dyDescent="0.2">
      <c r="A4268" s="12">
        <v>4207</v>
      </c>
      <c r="B4268" s="138">
        <f>('FP Info 3'!J10)*100000</f>
        <v>3658</v>
      </c>
      <c r="C4268" s="2" t="s">
        <v>594</v>
      </c>
      <c r="D4268" s="2" t="str">
        <f t="shared" si="65"/>
        <v>Error?</v>
      </c>
    </row>
    <row r="4269" spans="1:5" x14ac:dyDescent="0.2">
      <c r="A4269" s="12">
        <v>4208</v>
      </c>
      <c r="B4269" s="138">
        <f>'FP Info 3'!J16</f>
        <v>6800676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8020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6132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33345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27263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108987</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7.6000000000000005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108987</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67699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78493570</v>
      </c>
      <c r="D4995" s="2" t="str">
        <f t="shared" si="77"/>
        <v>Error?</v>
      </c>
    </row>
    <row r="4996" spans="1:4" x14ac:dyDescent="0.2">
      <c r="A4996" s="12">
        <v>4935</v>
      </c>
      <c r="B4996" s="138">
        <f>'FP Info 3'!H31</f>
        <v>10832112.66</v>
      </c>
      <c r="D4996" s="2" t="str">
        <f t="shared" si="77"/>
        <v>Error?</v>
      </c>
    </row>
    <row r="4997" spans="1:4" x14ac:dyDescent="0.2">
      <c r="A4997" s="12">
        <v>4936</v>
      </c>
      <c r="B4997" s="138">
        <f>'FP Info 3'!H37</f>
        <v>8361000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2222733</v>
      </c>
      <c r="D5061" s="2" t="str">
        <f t="shared" si="78"/>
        <v>Error?</v>
      </c>
    </row>
    <row r="5062" spans="1:4" x14ac:dyDescent="0.2">
      <c r="A5062" s="10">
        <v>5001</v>
      </c>
      <c r="D5062" s="2" t="str">
        <f t="shared" si="78"/>
        <v>OK</v>
      </c>
    </row>
    <row r="5063" spans="1:4" x14ac:dyDescent="0.2">
      <c r="A5063" s="5">
        <v>5002</v>
      </c>
      <c r="B5063" s="138">
        <f>'Revenues 9-14'!C7</f>
        <v>46210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2268943</v>
      </c>
      <c r="C5066" s="2" t="s">
        <v>594</v>
      </c>
      <c r="D5066" s="2" t="str">
        <f t="shared" si="78"/>
        <v>Error?</v>
      </c>
    </row>
    <row r="5067" spans="1:4" x14ac:dyDescent="0.2">
      <c r="A5067" s="5">
        <v>5006</v>
      </c>
      <c r="B5067" s="138">
        <f>'Revenues 9-14'!C14</f>
        <v>1140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434370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435510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253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253</v>
      </c>
      <c r="C5087" s="2" t="s">
        <v>594</v>
      </c>
      <c r="D5087" s="2" t="str">
        <f t="shared" si="78"/>
        <v>Error?</v>
      </c>
    </row>
    <row r="5088" spans="1:4" x14ac:dyDescent="0.2">
      <c r="A5088" s="5">
        <v>5027</v>
      </c>
      <c r="B5088" s="138">
        <f>'Revenues 9-14'!C65</f>
        <v>24888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24888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6936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101041</v>
      </c>
      <c r="C5096" s="2" t="s">
        <v>594</v>
      </c>
      <c r="D5096" s="2" t="str">
        <f t="shared" si="78"/>
        <v>Error?</v>
      </c>
    </row>
    <row r="5097" spans="1:4" x14ac:dyDescent="0.2">
      <c r="A5097" s="5">
        <v>5036</v>
      </c>
      <c r="B5097" s="138">
        <f>'Revenues 9-14'!C77</f>
        <v>22776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35084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98667</v>
      </c>
      <c r="D5101" s="2" t="str">
        <f t="shared" si="78"/>
        <v>Error?</v>
      </c>
    </row>
    <row r="5102" spans="1:4" x14ac:dyDescent="0.2">
      <c r="A5102" s="5">
        <v>5041</v>
      </c>
      <c r="B5102" s="138">
        <f>'Revenues 9-14'!C82</f>
        <v>156527</v>
      </c>
      <c r="C5102" s="2" t="s">
        <v>594</v>
      </c>
      <c r="D5102" s="2" t="str">
        <f t="shared" si="78"/>
        <v>Error?</v>
      </c>
    </row>
    <row r="5103" spans="1:4" x14ac:dyDescent="0.2">
      <c r="A5103" s="5">
        <v>5042</v>
      </c>
      <c r="B5103" s="138">
        <f>'Revenues 9-14'!C84</f>
        <v>27755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27755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2834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585</v>
      </c>
      <c r="D5118" s="2" t="str">
        <f t="shared" si="78"/>
        <v>Error?</v>
      </c>
    </row>
    <row r="5119" spans="1:4" x14ac:dyDescent="0.2">
      <c r="A5119" s="5">
        <v>5058</v>
      </c>
      <c r="B5119" s="138">
        <f>'Revenues 9-14'!C107</f>
        <v>41366</v>
      </c>
      <c r="D5119" s="2" t="str">
        <f t="shared" ref="D5119:D5182" si="79">IF(ISBLANK(B5119),"OK",IF(A5119-B5119=0,"OK","Error?"))</f>
        <v>Error?</v>
      </c>
    </row>
    <row r="5120" spans="1:4" x14ac:dyDescent="0.2">
      <c r="A5120" s="5">
        <v>5059</v>
      </c>
      <c r="B5120" s="138">
        <f>'Revenues 9-14'!C108</f>
        <v>48135</v>
      </c>
      <c r="C5120" s="2" t="s">
        <v>594</v>
      </c>
      <c r="D5120" s="2" t="str">
        <f t="shared" si="79"/>
        <v>Error?</v>
      </c>
    </row>
    <row r="5121" spans="1:4" x14ac:dyDescent="0.2">
      <c r="A5121" s="5">
        <v>5060</v>
      </c>
      <c r="B5121" s="138">
        <f>'Revenues 9-14'!C109</f>
        <v>3063052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1428784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1428784</v>
      </c>
      <c r="C5132" s="2" t="s">
        <v>594</v>
      </c>
      <c r="D5132" s="2" t="str">
        <f t="shared" si="79"/>
        <v>Error?</v>
      </c>
    </row>
    <row r="5133" spans="1:4" x14ac:dyDescent="0.2">
      <c r="A5133" s="5">
        <v>5072</v>
      </c>
      <c r="B5133" s="138">
        <f>'Revenues 9-14'!C124</f>
        <v>54720</v>
      </c>
      <c r="D5133" s="2" t="str">
        <f t="shared" si="79"/>
        <v>Error?</v>
      </c>
    </row>
    <row r="5134" spans="1:4" x14ac:dyDescent="0.2">
      <c r="A5134" s="5">
        <v>5073</v>
      </c>
      <c r="B5134" s="138">
        <f>'Revenues 9-14'!C125</f>
        <v>40460</v>
      </c>
      <c r="D5134" s="2" t="str">
        <f t="shared" si="79"/>
        <v>Error?</v>
      </c>
    </row>
    <row r="5135" spans="1:4" x14ac:dyDescent="0.2">
      <c r="A5135" s="5">
        <v>5074</v>
      </c>
      <c r="B5135" s="138">
        <f>'Revenues 9-14'!C126</f>
        <v>44886</v>
      </c>
      <c r="D5135" s="2" t="str">
        <f t="shared" si="79"/>
        <v>Error?</v>
      </c>
    </row>
    <row r="5136" spans="1:4" x14ac:dyDescent="0.2">
      <c r="A5136" s="10">
        <v>5075</v>
      </c>
      <c r="D5136" s="2" t="str">
        <f t="shared" si="79"/>
        <v>OK</v>
      </c>
    </row>
    <row r="5137" spans="1:4" x14ac:dyDescent="0.2">
      <c r="A5137" s="5">
        <v>5076</v>
      </c>
      <c r="B5137" s="138">
        <f>'Revenues 9-14'!C127</f>
        <v>81288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379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221733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11687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15106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1042</v>
      </c>
      <c r="D5167" s="2" t="str">
        <f t="shared" si="79"/>
        <v>Error?</v>
      </c>
    </row>
    <row r="5168" spans="1:4" x14ac:dyDescent="0.2">
      <c r="A5168" s="5">
        <v>5107</v>
      </c>
      <c r="B5168" s="138">
        <f>'Revenues 9-14'!C147</f>
        <v>13273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251904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1680688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89618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89618</v>
      </c>
      <c r="C5246" s="2" t="s">
        <v>594</v>
      </c>
      <c r="D5246" s="2" t="str">
        <f t="shared" si="80"/>
        <v>Error?</v>
      </c>
    </row>
    <row r="5247" spans="1:4" x14ac:dyDescent="0.2">
      <c r="A5247" s="5">
        <v>5186</v>
      </c>
      <c r="B5247" s="138">
        <f>'Revenues 9-14'!C203</f>
        <v>151209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151209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2872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388138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388138</v>
      </c>
      <c r="C5326" s="2" t="s">
        <v>594</v>
      </c>
      <c r="D5326" s="2" t="str">
        <f t="shared" si="82"/>
        <v>Error?</v>
      </c>
    </row>
    <row r="5327" spans="1:4" x14ac:dyDescent="0.2">
      <c r="A5327" s="5">
        <v>5266</v>
      </c>
      <c r="B5327" s="138">
        <f>'Revenues 9-14'!C275</f>
        <v>5131878</v>
      </c>
      <c r="C5327" s="2" t="s">
        <v>594</v>
      </c>
      <c r="D5327" s="2" t="str">
        <f t="shared" si="82"/>
        <v>Error?</v>
      </c>
    </row>
    <row r="5328" spans="1:4" x14ac:dyDescent="0.2">
      <c r="A5328" s="5">
        <v>5267</v>
      </c>
      <c r="B5328" s="138">
        <f>'Revenues 9-14'!D5</f>
        <v>419720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419720</v>
      </c>
      <c r="C5334" s="2" t="s">
        <v>594</v>
      </c>
      <c r="D5334" s="2" t="str">
        <f t="shared" si="82"/>
        <v>Error?</v>
      </c>
    </row>
    <row r="5335" spans="1:4" x14ac:dyDescent="0.2">
      <c r="A5335" s="5">
        <v>5274</v>
      </c>
      <c r="B5335" s="138">
        <f>'Revenues 9-14'!D14</f>
        <v>211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211</v>
      </c>
      <c r="C5339" s="2" t="s">
        <v>594</v>
      </c>
      <c r="D5339" s="2" t="str">
        <f t="shared" si="82"/>
        <v>Error?</v>
      </c>
    </row>
    <row r="5340" spans="1:4" x14ac:dyDescent="0.2">
      <c r="A5340" s="5">
        <v>5279</v>
      </c>
      <c r="B5340" s="138">
        <f>'Revenues 9-14'!D65</f>
        <v>9016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9016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5250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8608</v>
      </c>
      <c r="D5354" s="2" t="str">
        <f t="shared" si="82"/>
        <v>Error?</v>
      </c>
    </row>
    <row r="5355" spans="1:4" x14ac:dyDescent="0.2">
      <c r="A5355" s="5">
        <v>5294</v>
      </c>
      <c r="B5355" s="138">
        <f>'Revenues 9-14'!D108</f>
        <v>13858</v>
      </c>
      <c r="C5355" s="2" t="s">
        <v>594</v>
      </c>
      <c r="D5355" s="2" t="str">
        <f t="shared" si="82"/>
        <v>Error?</v>
      </c>
    </row>
    <row r="5356" spans="1:4" x14ac:dyDescent="0.2">
      <c r="A5356" s="5">
        <v>5295</v>
      </c>
      <c r="B5356" s="138">
        <f>'Revenues 9-14'!D109</f>
        <v>442805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442805</v>
      </c>
      <c r="C5508" s="2" t="s">
        <v>594</v>
      </c>
      <c r="D5508" s="2" t="str">
        <f t="shared" si="85"/>
        <v>Error?</v>
      </c>
    </row>
    <row r="5509" spans="1:4" x14ac:dyDescent="0.2">
      <c r="A5509" s="5">
        <v>5448</v>
      </c>
      <c r="B5509" s="138">
        <f>'Revenues 9-14'!E5</f>
        <v>545134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545134</v>
      </c>
      <c r="C5513" s="2" t="s">
        <v>594</v>
      </c>
      <c r="D5513" s="2" t="str">
        <f t="shared" si="85"/>
        <v>Error?</v>
      </c>
    </row>
    <row r="5514" spans="1:4" x14ac:dyDescent="0.2">
      <c r="A5514" s="5">
        <v>5453</v>
      </c>
      <c r="B5514" s="138">
        <f>'Revenues 9-14'!E14</f>
        <v>242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242</v>
      </c>
      <c r="C5518" s="2" t="s">
        <v>594</v>
      </c>
      <c r="D5518" s="2" t="str">
        <f t="shared" si="85"/>
        <v>Error?</v>
      </c>
    </row>
    <row r="5519" spans="1:4" x14ac:dyDescent="0.2">
      <c r="A5519" s="5">
        <v>5458</v>
      </c>
      <c r="B5519" s="138">
        <f>'Revenues 9-14'!E65</f>
        <v>2884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2884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475947</v>
      </c>
      <c r="C5526" s="2" t="s">
        <v>594</v>
      </c>
      <c r="D5526" s="2" t="str">
        <f t="shared" si="85"/>
        <v>Error?</v>
      </c>
    </row>
    <row r="5527" spans="1:4" x14ac:dyDescent="0.2">
      <c r="A5527" s="5">
        <v>5466</v>
      </c>
      <c r="B5527" s="138">
        <f>'Revenues 9-14'!E109</f>
        <v>1024207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1133194</v>
      </c>
      <c r="C5552" s="2" t="s">
        <v>594</v>
      </c>
      <c r="D5552" s="2" t="str">
        <f t="shared" si="85"/>
        <v>Error?</v>
      </c>
    </row>
    <row r="5553" spans="1:4" x14ac:dyDescent="0.2">
      <c r="A5553" s="5">
        <v>5492</v>
      </c>
      <c r="B5553" s="138">
        <f>'Revenues 9-14'!F5</f>
        <v>191976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191976</v>
      </c>
      <c r="C5557" s="2" t="s">
        <v>594</v>
      </c>
      <c r="D5557" s="2" t="str">
        <f t="shared" si="85"/>
        <v>Error?</v>
      </c>
    </row>
    <row r="5558" spans="1:4" x14ac:dyDescent="0.2">
      <c r="A5558" s="5">
        <v>5497</v>
      </c>
      <c r="B5558" s="138">
        <f>'Revenues 9-14'!F14</f>
        <v>96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4254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4254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196326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110100</v>
      </c>
      <c r="D5615" s="2" t="str">
        <f t="shared" si="86"/>
        <v>Error?</v>
      </c>
    </row>
    <row r="5616" spans="1:4" x14ac:dyDescent="0.2">
      <c r="A5616" s="10">
        <v>5555</v>
      </c>
      <c r="D5616" s="2" t="str">
        <f t="shared" si="86"/>
        <v>OK</v>
      </c>
    </row>
    <row r="5617" spans="1:4" x14ac:dyDescent="0.2">
      <c r="A5617" s="5">
        <v>5556</v>
      </c>
      <c r="B5617" s="138">
        <f>'Revenues 9-14'!F152</f>
        <v>50128</v>
      </c>
      <c r="D5617" s="2" t="str">
        <f t="shared" si="86"/>
        <v>Error?</v>
      </c>
    </row>
    <row r="5618" spans="1:4" x14ac:dyDescent="0.2">
      <c r="A5618" s="5">
        <v>5557</v>
      </c>
      <c r="B5618" s="138">
        <f>'Revenues 9-14'!F154</f>
        <v>168248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168248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168248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364574</v>
      </c>
      <c r="C5720" s="2" t="s">
        <v>594</v>
      </c>
      <c r="D5720" s="2" t="str">
        <f t="shared" si="88"/>
        <v>Error?</v>
      </c>
    </row>
    <row r="5721" spans="1:4" x14ac:dyDescent="0.2">
      <c r="A5721" s="5">
        <v>5660</v>
      </c>
      <c r="B5721" s="138">
        <f>'Revenues 9-14'!G5</f>
        <v>77834</v>
      </c>
      <c r="D5721" s="2" t="str">
        <f t="shared" si="88"/>
        <v>Error?</v>
      </c>
    </row>
    <row r="5722" spans="1:4" x14ac:dyDescent="0.2">
      <c r="A5722" s="5">
        <v>5661</v>
      </c>
      <c r="B5722" s="138">
        <f>'Revenues 9-14'!G7</f>
        <v>0</v>
      </c>
      <c r="D5722" s="2" t="str">
        <f t="shared" si="88"/>
        <v>Error?</v>
      </c>
    </row>
    <row r="5723" spans="1:4" x14ac:dyDescent="0.2">
      <c r="A5723" s="5">
        <v>5662</v>
      </c>
      <c r="B5723" s="138">
        <f>'Revenues 9-14'!G8</f>
        <v>87460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165294</v>
      </c>
      <c r="C5725" s="2" t="s">
        <v>594</v>
      </c>
      <c r="D5725" s="2" t="str">
        <f t="shared" si="88"/>
        <v>Error?</v>
      </c>
    </row>
    <row r="5726" spans="1:4" x14ac:dyDescent="0.2">
      <c r="A5726" s="5">
        <v>5665</v>
      </c>
      <c r="B5726" s="138">
        <f>'Revenues 9-14'!G14</f>
        <v>78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12591</v>
      </c>
      <c r="C5730" s="2" t="s">
        <v>594</v>
      </c>
      <c r="D5730" s="2" t="str">
        <f t="shared" si="88"/>
        <v>Error?</v>
      </c>
    </row>
    <row r="5731" spans="1:4" x14ac:dyDescent="0.2">
      <c r="A5731" s="5">
        <v>5670</v>
      </c>
      <c r="B5731" s="138">
        <f>'Revenues 9-14'!G65</f>
        <v>339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178224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5786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5786</v>
      </c>
      <c r="C5918" s="2" t="s">
        <v>594</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v>
      </c>
      <c r="C5923" s="2" t="s">
        <v>594</v>
      </c>
      <c r="D5923" s="2" t="str">
        <f t="shared" si="91"/>
        <v>Error?</v>
      </c>
    </row>
    <row r="5924" spans="1:4" x14ac:dyDescent="0.2">
      <c r="A5924" s="5">
        <v>5863</v>
      </c>
      <c r="B5924" s="138">
        <f>'Revenues 9-14'!I65</f>
        <v>6499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6499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12287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36593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36593</v>
      </c>
      <c r="C5987" s="2" t="s">
        <v>594</v>
      </c>
      <c r="D5987" s="2" t="str">
        <f t="shared" si="92"/>
        <v>Error?</v>
      </c>
    </row>
    <row r="5988" spans="1:4" x14ac:dyDescent="0.2">
      <c r="A5988" s="5">
        <v>5927</v>
      </c>
      <c r="B5988" s="138">
        <f>'Revenues 9-14'!K14</f>
        <v>19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19</v>
      </c>
      <c r="C5992" s="2" t="s">
        <v>594</v>
      </c>
      <c r="D5992" s="2" t="str">
        <f t="shared" si="92"/>
        <v>Error?</v>
      </c>
    </row>
    <row r="5993" spans="1:4" x14ac:dyDescent="0.2">
      <c r="A5993" s="5">
        <v>5932</v>
      </c>
      <c r="B5993" s="138">
        <f>'Revenues 9-14'!K65</f>
        <v>608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608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37220</v>
      </c>
      <c r="C6023" s="2" t="s">
        <v>594</v>
      </c>
      <c r="D6023" s="2" t="str">
        <f t="shared" si="93"/>
        <v>Error?</v>
      </c>
    </row>
    <row r="6024" spans="1:5" x14ac:dyDescent="0.2">
      <c r="A6024" s="5">
        <v>5963</v>
      </c>
      <c r="B6024" s="138">
        <f>'Revenues 9-14'!G109</f>
        <v>178224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12287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37220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94105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609.12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131557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131557</v>
      </c>
      <c r="D6215" s="2" t="str">
        <f t="shared" si="96"/>
        <v>Error?</v>
      </c>
      <c r="E6215" s="2" t="s">
        <v>199</v>
      </c>
    </row>
    <row r="6216" spans="1:5" x14ac:dyDescent="0.2">
      <c r="A6216">
        <v>6155</v>
      </c>
      <c r="B6216" s="138">
        <f>'Assets-Liab 5-6'!J41</f>
        <v>131557</v>
      </c>
      <c r="D6216" s="2" t="str">
        <f t="shared" si="96"/>
        <v>Error?</v>
      </c>
      <c r="E6216" s="2" t="s">
        <v>199</v>
      </c>
    </row>
    <row r="6217" spans="1:5" x14ac:dyDescent="0.2">
      <c r="A6217">
        <v>6156</v>
      </c>
      <c r="B6217" s="138">
        <f>'Assets-Liab 5-6'!J4</f>
        <v>121557</v>
      </c>
      <c r="D6217" s="2" t="str">
        <f t="shared" si="96"/>
        <v>Error?</v>
      </c>
      <c r="E6217" s="2" t="s">
        <v>199</v>
      </c>
    </row>
    <row r="6218" spans="1:5" x14ac:dyDescent="0.2">
      <c r="A6218">
        <v>6157</v>
      </c>
      <c r="B6218" s="138">
        <f>'Assets-Liab 5-6'!J5</f>
        <v>10000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126961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126961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126961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115882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115882</v>
      </c>
      <c r="D6229" s="2" t="str">
        <f t="shared" si="96"/>
        <v>Error?</v>
      </c>
      <c r="E6229" s="2" t="s">
        <v>199</v>
      </c>
    </row>
    <row r="6230" spans="1:5" x14ac:dyDescent="0.2">
      <c r="A6230">
        <v>6169</v>
      </c>
      <c r="B6230" s="138">
        <f>'Acct Summary 7-8'!J20</f>
        <v>11079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11079</v>
      </c>
      <c r="D6263" s="2" t="str">
        <f t="shared" si="96"/>
        <v>Error?</v>
      </c>
      <c r="E6263" s="2" t="s">
        <v>199</v>
      </c>
    </row>
    <row r="6264" spans="1:5" x14ac:dyDescent="0.2">
      <c r="A6264">
        <v>6203</v>
      </c>
      <c r="B6264" s="138">
        <f>'Acct Summary 7-8'!J79</f>
        <v>120478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131557</v>
      </c>
      <c r="D6266" s="2" t="str">
        <f t="shared" si="96"/>
        <v>Error?</v>
      </c>
      <c r="E6266" s="2" t="s">
        <v>199</v>
      </c>
    </row>
    <row r="6267" spans="1:5" x14ac:dyDescent="0.2">
      <c r="A6267">
        <v>6206</v>
      </c>
      <c r="B6267" s="138">
        <f>'Acct Summary 7-8'!C82</f>
        <v>156513</v>
      </c>
      <c r="D6267" s="2" t="str">
        <f t="shared" si="96"/>
        <v>Error?</v>
      </c>
      <c r="E6267" s="2" t="s">
        <v>199</v>
      </c>
    </row>
    <row r="6268" spans="1:5" x14ac:dyDescent="0.2">
      <c r="A6268">
        <v>6207</v>
      </c>
      <c r="B6268" s="138">
        <f>'Acct Summary 7-8'!D82</f>
        <v>-190176</v>
      </c>
      <c r="D6268" s="2" t="str">
        <f t="shared" si="96"/>
        <v>Error?</v>
      </c>
      <c r="E6268" s="2" t="s">
        <v>199</v>
      </c>
    </row>
    <row r="6269" spans="1:5" x14ac:dyDescent="0.2">
      <c r="A6269">
        <v>6208</v>
      </c>
      <c r="B6269" s="138">
        <f>'Acct Summary 7-8'!E82</f>
        <v>153381</v>
      </c>
      <c r="D6269" s="2" t="str">
        <f t="shared" si="96"/>
        <v>Error?</v>
      </c>
      <c r="E6269" s="2" t="s">
        <v>199</v>
      </c>
    </row>
    <row r="6270" spans="1:5" x14ac:dyDescent="0.2">
      <c r="A6270">
        <v>6209</v>
      </c>
      <c r="B6270" s="138">
        <f>'Acct Summary 7-8'!F82</f>
        <v>87990</v>
      </c>
      <c r="D6270" s="2" t="str">
        <f t="shared" si="96"/>
        <v>Error?</v>
      </c>
      <c r="E6270" s="2" t="s">
        <v>199</v>
      </c>
    </row>
    <row r="6271" spans="1:5" x14ac:dyDescent="0.2">
      <c r="A6271">
        <v>6210</v>
      </c>
      <c r="B6271" s="138">
        <f>'Acct Summary 7-8'!G82</f>
        <v>-4642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5788</v>
      </c>
      <c r="D6273" s="2" t="str">
        <f t="shared" si="97"/>
        <v>Error?</v>
      </c>
      <c r="E6273" s="2" t="s">
        <v>199</v>
      </c>
    </row>
    <row r="6274" spans="1:5" x14ac:dyDescent="0.2">
      <c r="A6274">
        <v>6213</v>
      </c>
      <c r="B6274" s="138">
        <f>'Acct Summary 7-8'!J82</f>
        <v>11079</v>
      </c>
      <c r="D6274" s="2" t="str">
        <f t="shared" si="97"/>
        <v>Error?</v>
      </c>
      <c r="E6274" s="2" t="s">
        <v>199</v>
      </c>
    </row>
    <row r="6275" spans="1:5" x14ac:dyDescent="0.2">
      <c r="A6275">
        <v>6214</v>
      </c>
      <c r="B6275" s="138">
        <f>'Acct Summary 7-8'!K82</f>
        <v>30426</v>
      </c>
      <c r="D6275" s="2" t="str">
        <f t="shared" si="97"/>
        <v>Error?</v>
      </c>
      <c r="E6275" s="2" t="s">
        <v>199</v>
      </c>
    </row>
    <row r="6276" spans="1:5" x14ac:dyDescent="0.2">
      <c r="A6276">
        <v>6215</v>
      </c>
      <c r="B6276" s="138">
        <f>'Acct Summary 7-8'!C83</f>
        <v>4.5494222422980901E-2</v>
      </c>
      <c r="D6276" s="2" t="str">
        <f t="shared" si="97"/>
        <v>Error?</v>
      </c>
      <c r="E6276" s="2" t="s">
        <v>199</v>
      </c>
    </row>
    <row r="6277" spans="1:5" x14ac:dyDescent="0.2">
      <c r="A6277">
        <v>6216</v>
      </c>
      <c r="B6277" s="138">
        <f>'Acct Summary 7-8'!D83</f>
        <v>-0.12502210514620951</v>
      </c>
      <c r="D6277" s="2" t="str">
        <f t="shared" si="97"/>
        <v>Error?</v>
      </c>
      <c r="E6277" s="2" t="s">
        <v>199</v>
      </c>
    </row>
    <row r="6278" spans="1:5" x14ac:dyDescent="0.2">
      <c r="A6278">
        <v>6217</v>
      </c>
      <c r="B6278" s="138">
        <f>'Acct Summary 7-8'!E83</f>
        <v>0.23007932269697171</v>
      </c>
      <c r="D6278" s="2" t="str">
        <f t="shared" si="97"/>
        <v>Error?</v>
      </c>
      <c r="E6278" s="2" t="s">
        <v>199</v>
      </c>
    </row>
    <row r="6279" spans="1:5" x14ac:dyDescent="0.2">
      <c r="A6279">
        <v>6218</v>
      </c>
      <c r="B6279" s="138">
        <f>'Acct Summary 7-8'!F83</f>
        <v>9.6215880486295327E-2</v>
      </c>
      <c r="D6279" s="2" t="str">
        <f t="shared" si="97"/>
        <v>Error?</v>
      </c>
      <c r="E6279" s="2" t="s">
        <v>199</v>
      </c>
    </row>
    <row r="6280" spans="1:5" x14ac:dyDescent="0.2">
      <c r="A6280">
        <v>6219</v>
      </c>
      <c r="B6280" s="138">
        <f>'Acct Summary 7-8'!G83</f>
        <v>-4.7613186452499644E-2</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6.259002452560049E-3</v>
      </c>
      <c r="D6282" s="2" t="str">
        <f t="shared" si="97"/>
        <v>Error?</v>
      </c>
      <c r="E6282" s="2" t="s">
        <v>199</v>
      </c>
    </row>
    <row r="6283" spans="1:5" x14ac:dyDescent="0.2">
      <c r="A6283">
        <v>6222</v>
      </c>
      <c r="B6283" s="138">
        <f>'Acct Summary 7-8'!J83</f>
        <v>8.4214446969754553E-2</v>
      </c>
      <c r="D6283" s="2" t="str">
        <f t="shared" si="97"/>
        <v>Error?</v>
      </c>
      <c r="E6283" s="2" t="s">
        <v>199</v>
      </c>
    </row>
    <row r="6284" spans="1:5" x14ac:dyDescent="0.2">
      <c r="A6284">
        <v>6223</v>
      </c>
      <c r="B6284" s="138">
        <f>'Acct Summary 7-8'!K83</f>
        <v>0.23646170106938572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123361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123361</v>
      </c>
      <c r="D6301" s="2" t="str">
        <f t="shared" si="97"/>
        <v>Error?</v>
      </c>
      <c r="E6301" s="2" t="s">
        <v>199</v>
      </c>
    </row>
    <row r="6302" spans="1:5" x14ac:dyDescent="0.2">
      <c r="A6302">
        <v>6241</v>
      </c>
      <c r="B6302" s="138">
        <f>'Revenues 9-14'!J14</f>
        <v>55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55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215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215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3330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3350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3330</v>
      </c>
      <c r="D6351" s="2" t="str">
        <f t="shared" si="98"/>
        <v>Error?</v>
      </c>
      <c r="E6351" s="2" t="s">
        <v>199</v>
      </c>
    </row>
    <row r="6352" spans="1:5" x14ac:dyDescent="0.2">
      <c r="A6352">
        <v>6291</v>
      </c>
      <c r="B6352" s="138">
        <f>'Revenues 9-14'!J109</f>
        <v>126961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3419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108987</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108987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5943</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15014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5943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7550</v>
      </c>
      <c r="D6981" s="2" t="str">
        <f t="shared" si="108"/>
        <v>Error?</v>
      </c>
    </row>
    <row r="6982" spans="1:4" x14ac:dyDescent="0.2">
      <c r="A6982">
        <v>6921</v>
      </c>
      <c r="B6982" s="138">
        <f>'Expenditures 15-22'!K85</f>
        <v>7550</v>
      </c>
      <c r="D6982" s="2" t="str">
        <f t="shared" si="108"/>
        <v>Error?</v>
      </c>
    </row>
    <row r="6983" spans="1:4" x14ac:dyDescent="0.2">
      <c r="A6983">
        <v>6922</v>
      </c>
      <c r="B6983" s="138">
        <f>'Expenditures 15-22'!H86</f>
        <v>64124</v>
      </c>
      <c r="D6983" s="2" t="str">
        <f t="shared" si="108"/>
        <v>Error?</v>
      </c>
    </row>
    <row r="6984" spans="1:4" x14ac:dyDescent="0.2">
      <c r="A6984">
        <v>6923</v>
      </c>
      <c r="B6984" s="138">
        <f>'Expenditures 15-22'!K86</f>
        <v>64124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71674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5943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115882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126961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99</v>
      </c>
      <c r="D7079" s="2" t="str">
        <f t="shared" si="109"/>
        <v>Error?</v>
      </c>
    </row>
    <row r="7080" spans="1:4" x14ac:dyDescent="0.2">
      <c r="A7080">
        <v>7019</v>
      </c>
      <c r="B7080" s="138">
        <f>'Expenditures 15-22'!K226</f>
        <v>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36446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36446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79436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79436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115882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115882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115882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115882</v>
      </c>
      <c r="D7224" s="2" t="str">
        <f t="shared" si="111"/>
        <v>Error?</v>
      </c>
    </row>
    <row r="7225" spans="1:4" x14ac:dyDescent="0.2">
      <c r="A7225">
        <v>7164</v>
      </c>
      <c r="B7225" s="138">
        <f>'Expenditures 15-22'!K343</f>
        <v>11079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14260</v>
      </c>
      <c r="D7263" s="2" t="str">
        <f t="shared" si="112"/>
        <v>Error?</v>
      </c>
    </row>
    <row r="7264" spans="1:4" x14ac:dyDescent="0.2">
      <c r="A7264">
        <f t="shared" si="113"/>
        <v>7203</v>
      </c>
      <c r="B7264" s="138">
        <f>'Expenditures 15-22'!D17</f>
        <v>754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5943</v>
      </c>
      <c r="D7624" s="2" t="str">
        <f t="shared" si="124"/>
        <v>Error?</v>
      </c>
      <c r="E7624" s="2" t="s">
        <v>19</v>
      </c>
    </row>
    <row r="7625" spans="1:5" x14ac:dyDescent="0.2">
      <c r="A7625">
        <f t="shared" si="123"/>
        <v>7564</v>
      </c>
      <c r="B7625" s="138">
        <f>'Cap Outlay Deprec 26'!I17</f>
        <v>594.29999999999995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482537.3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3350</v>
      </c>
      <c r="D7712" s="2" t="str">
        <f t="shared" si="126"/>
        <v>Error?</v>
      </c>
      <c r="E7712" s="2" t="s">
        <v>881</v>
      </c>
    </row>
    <row r="7713" spans="1:6" x14ac:dyDescent="0.2">
      <c r="A7713">
        <v>7652</v>
      </c>
      <c r="B7713" s="138">
        <f>'Rest Tax Levies-Tort Im 25'!J8</f>
        <v>475947</v>
      </c>
      <c r="D7713" s="2" t="str">
        <f t="shared" si="126"/>
        <v>Error?</v>
      </c>
      <c r="E7713" s="2" t="s">
        <v>881</v>
      </c>
    </row>
    <row r="7714" spans="1:6" x14ac:dyDescent="0.2">
      <c r="A7714">
        <v>7653</v>
      </c>
      <c r="B7714" s="138">
        <f>'Rest Tax Levies-Tort Im 25'!K9</f>
        <v>13273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475947</v>
      </c>
      <c r="D7718" s="2" t="str">
        <f t="shared" si="126"/>
        <v>Error?</v>
      </c>
      <c r="E7718" s="2" t="s">
        <v>881</v>
      </c>
    </row>
    <row r="7719" spans="1:6" x14ac:dyDescent="0.2">
      <c r="A7719">
        <v>7658</v>
      </c>
      <c r="B7719" s="138">
        <f>'Rest Tax Levies-Tort Im 25'!K12</f>
        <v>16623</v>
      </c>
      <c r="D7719" s="2" t="str">
        <f t="shared" si="126"/>
        <v>Error?</v>
      </c>
      <c r="E7719" s="2" t="s">
        <v>881</v>
      </c>
    </row>
    <row r="7720" spans="1:6" x14ac:dyDescent="0.2">
      <c r="A7720">
        <v>7659</v>
      </c>
      <c r="B7720" s="138">
        <f>'Rest Tax Levies-Tort Im 25'!H14</f>
        <v>46210</v>
      </c>
      <c r="D7720" s="2" t="str">
        <f t="shared" si="126"/>
        <v>Error?</v>
      </c>
      <c r="E7720" s="2" t="s">
        <v>881</v>
      </c>
    </row>
    <row r="7721" spans="1:6" x14ac:dyDescent="0.2">
      <c r="A7721">
        <v>7660</v>
      </c>
      <c r="B7721" s="138">
        <f>'Rest Tax Levies-Tort Im 25'!K14</f>
        <v>16623</v>
      </c>
      <c r="D7721" s="2" t="str">
        <f t="shared" si="126"/>
        <v>Error?</v>
      </c>
      <c r="E7721" s="2" t="s">
        <v>881</v>
      </c>
    </row>
    <row r="7722" spans="1:6" x14ac:dyDescent="0.2">
      <c r="A7722">
        <v>7661</v>
      </c>
      <c r="B7722" s="138">
        <f>'Rest Tax Levies-Tort Im 25'!J15</f>
        <v>475947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475947</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475947</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108987</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4" t="s">
        <v>1253</v>
      </c>
      <c r="B2" s="2424"/>
      <c r="C2" s="2424"/>
      <c r="D2" s="2424"/>
      <c r="E2" s="2424"/>
      <c r="F2" s="2424"/>
      <c r="G2" s="2424"/>
      <c r="H2" s="2424"/>
      <c r="I2" s="2424"/>
      <c r="J2" s="2424"/>
      <c r="K2" s="2424"/>
      <c r="L2" s="2424"/>
    </row>
    <row r="3" spans="1:29" ht="13.5" customHeight="1" x14ac:dyDescent="0.2">
      <c r="A3" s="2410" t="s">
        <v>1252</v>
      </c>
      <c r="B3" s="2410"/>
      <c r="C3" s="2410"/>
      <c r="D3" s="2410"/>
      <c r="E3" s="2410"/>
      <c r="F3" s="2410"/>
      <c r="G3" s="2410"/>
      <c r="H3" s="2410"/>
      <c r="I3" s="2410"/>
      <c r="J3" s="2410"/>
      <c r="K3" s="2410"/>
      <c r="L3" s="2410"/>
    </row>
    <row r="4" spans="1:29" ht="13.5" customHeight="1" x14ac:dyDescent="0.2">
      <c r="A4" s="2424" t="s">
        <v>1799</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4" t="str">
        <f>COVER!A17</f>
        <v>Fisher CUSD 1</v>
      </c>
      <c r="B7" s="2405"/>
      <c r="C7" s="2405"/>
      <c r="D7" s="2442"/>
      <c r="E7" s="2443">
        <f>COVER!A13</f>
        <v>9010001026</v>
      </c>
      <c r="F7" s="2444"/>
      <c r="G7" s="2411" t="str">
        <f>COVER!T23</f>
        <v>065.018319</v>
      </c>
      <c r="H7" s="2412"/>
      <c r="I7" s="2412"/>
      <c r="J7" s="2412"/>
      <c r="K7" s="2412"/>
      <c r="L7" s="241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4"/>
      <c r="B9" s="2415"/>
      <c r="C9" s="2415"/>
      <c r="D9" s="2415"/>
      <c r="E9" s="2415"/>
      <c r="F9" s="2416"/>
      <c r="G9" s="2417" t="str">
        <f>COVER!T13</f>
        <v>RUSSELL LEIGH &amp; ASSOCIATES</v>
      </c>
      <c r="H9" s="2418"/>
      <c r="I9" s="2418"/>
      <c r="J9" s="2418"/>
      <c r="K9" s="2418"/>
      <c r="L9" s="2419"/>
    </row>
    <row r="10" spans="1:29" ht="13.5" customHeight="1" x14ac:dyDescent="0.2">
      <c r="A10" s="2401" t="str">
        <f>COVER!A38</f>
        <v>BARBARA THOMPSON</v>
      </c>
      <c r="B10" s="2402"/>
      <c r="C10" s="2402"/>
      <c r="D10" s="2402"/>
      <c r="E10" s="2402"/>
      <c r="F10" s="2403"/>
      <c r="G10" s="2417" t="str">
        <f>COVER!T17</f>
        <v>228 E MAIN ST</v>
      </c>
      <c r="H10" s="2430"/>
      <c r="I10" s="2430"/>
      <c r="J10" s="2430"/>
      <c r="K10" s="2430"/>
      <c r="L10" s="2431"/>
    </row>
    <row r="11" spans="1:29" ht="13.5" customHeight="1" x14ac:dyDescent="0.2">
      <c r="A11" s="1185" t="s">
        <v>1599</v>
      </c>
      <c r="B11" s="1186"/>
      <c r="C11" s="1187"/>
      <c r="D11" s="1192"/>
      <c r="E11" s="1187"/>
      <c r="F11" s="1191"/>
      <c r="G11" s="2417" t="str">
        <f>COVER!T19</f>
        <v>HOOPESTON</v>
      </c>
      <c r="H11" s="2430"/>
      <c r="I11" s="2430"/>
      <c r="J11" s="2430"/>
      <c r="K11" s="2430"/>
      <c r="L11" s="2431"/>
    </row>
    <row r="12" spans="1:29" ht="13.5" customHeight="1" x14ac:dyDescent="0.2">
      <c r="A12" s="2435" t="s">
        <v>1598</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1600</v>
      </c>
      <c r="H13" s="2426"/>
      <c r="I13" s="2438" t="str">
        <f>COVER!T25</f>
        <v>admin@russleigh.com</v>
      </c>
      <c r="J13" s="2439"/>
      <c r="K13" s="2439"/>
      <c r="L13" s="2440"/>
    </row>
    <row r="14" spans="1:29" ht="13.5" customHeight="1" x14ac:dyDescent="0.2">
      <c r="A14" s="2417" t="str">
        <f>COVER!A19</f>
        <v>801 SOUTH 5TH STREET</v>
      </c>
      <c r="B14" s="2430"/>
      <c r="C14" s="2430"/>
      <c r="D14" s="2430"/>
      <c r="E14" s="2430"/>
      <c r="F14" s="2431"/>
      <c r="G14" s="1196" t="s">
        <v>1247</v>
      </c>
      <c r="H14" s="1194"/>
      <c r="I14" s="1194"/>
      <c r="J14" s="1194"/>
      <c r="K14" s="1194"/>
      <c r="L14" s="1195"/>
    </row>
    <row r="15" spans="1:29" ht="13.5" customHeight="1" x14ac:dyDescent="0.2">
      <c r="A15" s="2417" t="str">
        <f>COVER!A21</f>
        <v>FISHER</v>
      </c>
      <c r="B15" s="2430"/>
      <c r="C15" s="2430"/>
      <c r="D15" s="2430"/>
      <c r="E15" s="2430"/>
      <c r="F15" s="2431"/>
      <c r="G15" s="2427" t="str">
        <f>COVER!T15</f>
        <v>RUSS LEIGH</v>
      </c>
      <c r="H15" s="2428"/>
      <c r="I15" s="2428"/>
      <c r="J15" s="2428"/>
      <c r="K15" s="2428"/>
      <c r="L15" s="2429"/>
    </row>
    <row r="16" spans="1:29" ht="12.2" customHeight="1" x14ac:dyDescent="0.2">
      <c r="A16" s="2407">
        <f>COVER!A25</f>
        <v>61843</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6" t="s">
        <v>1246</v>
      </c>
      <c r="H17" s="1194"/>
      <c r="I17" s="1194"/>
      <c r="J17" s="1194"/>
      <c r="K17" s="1198" t="s">
        <v>1245</v>
      </c>
      <c r="L17" s="1191"/>
      <c r="M17" s="1184"/>
    </row>
    <row r="18" spans="1:13" ht="12.2" customHeight="1" x14ac:dyDescent="0.2">
      <c r="A18" s="2401"/>
      <c r="B18" s="2402"/>
      <c r="C18" s="2402"/>
      <c r="D18" s="2402"/>
      <c r="E18" s="2402"/>
      <c r="F18" s="2403"/>
      <c r="G18" s="2404" t="str">
        <f>COVER!T21</f>
        <v>217-283-9336</v>
      </c>
      <c r="H18" s="2405"/>
      <c r="I18" s="2405"/>
      <c r="J18" s="2405"/>
      <c r="K18" s="2404" t="str">
        <f>COVER!X21</f>
        <v>217-283-9736</v>
      </c>
      <c r="L18" s="240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Fisher CUSD 1</v>
      </c>
      <c r="B1" s="2441"/>
      <c r="C1" s="2441"/>
      <c r="D1" s="2441"/>
    </row>
    <row r="2" spans="1:11" s="1215" customFormat="1" ht="12.75" x14ac:dyDescent="0.2">
      <c r="A2" s="2446">
        <f>'Single Audit Cover'!E7</f>
        <v>9010001026</v>
      </c>
      <c r="B2" s="2447"/>
      <c r="C2" s="2447"/>
      <c r="D2" s="2447"/>
    </row>
    <row r="3" spans="1:11" s="1215" customFormat="1" ht="12.75" x14ac:dyDescent="0.2">
      <c r="A3" s="2445" t="s">
        <v>1593</v>
      </c>
      <c r="B3" s="2441"/>
      <c r="C3" s="2441"/>
      <c r="D3" s="244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Fisher CUSD 1</v>
      </c>
      <c r="B1" s="2449"/>
      <c r="C1" s="2449"/>
      <c r="D1" s="2449"/>
      <c r="E1" s="2449"/>
    </row>
    <row r="2" spans="1:5" x14ac:dyDescent="0.2">
      <c r="A2" s="2450">
        <f>'Single Audit Cover'!E7</f>
        <v>9010001026</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497125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-33345</v>
      </c>
    </row>
    <row r="19" spans="1:4" ht="13.5" thickBot="1" x14ac:dyDescent="0.25">
      <c r="A19" s="1265" t="s">
        <v>1297</v>
      </c>
      <c r="D19" s="1266">
        <f>SUM(D10:D17)</f>
        <v>463780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463780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463780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Fisher CUSD 1</v>
      </c>
      <c r="B1" s="2454"/>
      <c r="C1" s="2454"/>
      <c r="D1" s="2454"/>
      <c r="E1" s="2454"/>
      <c r="F1" s="2454"/>
    </row>
    <row r="2" spans="1:7" ht="13.5" customHeight="1" x14ac:dyDescent="0.2">
      <c r="A2" s="2455">
        <f>'Single Audit Cover'!E7</f>
        <v>9010001026</v>
      </c>
      <c r="B2" s="2455"/>
      <c r="C2" s="2455"/>
      <c r="D2" s="2455"/>
      <c r="E2" s="2455"/>
      <c r="F2" s="2455"/>
      <c r="G2" s="1275"/>
    </row>
    <row r="3" spans="1:7" ht="15.75" customHeight="1" x14ac:dyDescent="0.2">
      <c r="A3" s="2456" t="s">
        <v>1333</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6" t="s">
        <v>1831</v>
      </c>
      <c r="C6" s="317"/>
      <c r="D6" s="317"/>
    </row>
    <row r="7" spans="1:7" ht="60.95" customHeight="1" x14ac:dyDescent="0.2">
      <c r="A7" s="2453" t="s">
        <v>1832</v>
      </c>
      <c r="B7" s="2453"/>
      <c r="C7" s="2453"/>
      <c r="D7" s="2453"/>
      <c r="E7" s="2453"/>
      <c r="F7" s="2453"/>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3" t="s">
        <v>1834</v>
      </c>
      <c r="B13" s="2453"/>
      <c r="C13" s="2453"/>
      <c r="D13" s="2453"/>
      <c r="E13" s="2453"/>
      <c r="F13" s="2453"/>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2" t="s">
        <v>1835</v>
      </c>
      <c r="B32" s="2462"/>
      <c r="C32" s="2462"/>
      <c r="D32" s="2462"/>
      <c r="E32" s="2462"/>
      <c r="F32" s="2462"/>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3">
        <f>+C33+C34</f>
        <v>0</v>
      </c>
      <c r="F34" s="246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5" t="s">
        <v>1672</v>
      </c>
      <c r="C49" s="2465"/>
      <c r="D49" s="2465"/>
      <c r="E49" s="1399"/>
    </row>
    <row r="50" spans="1:5" s="1300" customFormat="1" ht="3.75" customHeight="1" x14ac:dyDescent="0.2">
      <c r="A50" s="1299"/>
      <c r="B50" s="1870"/>
      <c r="C50" s="1870"/>
      <c r="D50" s="1870"/>
      <c r="E50" s="1399"/>
    </row>
    <row r="51" spans="1:5" s="1300" customFormat="1" ht="20.25" customHeight="1" x14ac:dyDescent="0.2">
      <c r="A51" s="1301">
        <v>6</v>
      </c>
      <c r="B51" s="2461" t="s">
        <v>1632</v>
      </c>
      <c r="C51" s="2461"/>
      <c r="D51" s="2461"/>
    </row>
    <row r="52" spans="1:5" ht="14.25" customHeight="1" x14ac:dyDescent="0.2">
      <c r="A52" s="1301"/>
      <c r="B52" s="2461"/>
      <c r="C52" s="2461"/>
      <c r="D52" s="246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0" t="str">
        <f>'Single Audit Cover'!A7</f>
        <v>Fisher CUSD 1</v>
      </c>
      <c r="C1" s="2466"/>
      <c r="D1" s="2466"/>
      <c r="E1" s="2466"/>
      <c r="F1" s="2466"/>
      <c r="G1" s="2466"/>
      <c r="H1" s="2466"/>
      <c r="I1" s="2466"/>
      <c r="J1" s="2466"/>
      <c r="K1" s="2466"/>
      <c r="L1" s="2466"/>
      <c r="M1" s="2466"/>
    </row>
    <row r="2" spans="2:14" ht="15" x14ac:dyDescent="0.2">
      <c r="B2" s="2455">
        <f>'Single Audit Cover'!E7</f>
        <v>9010001026</v>
      </c>
      <c r="C2" s="2455"/>
      <c r="D2" s="2455"/>
      <c r="E2" s="2455"/>
      <c r="F2" s="2455"/>
      <c r="G2" s="2455"/>
      <c r="H2" s="2455"/>
      <c r="I2" s="2455"/>
      <c r="J2" s="2455"/>
      <c r="K2" s="2455"/>
      <c r="L2" s="2455"/>
      <c r="M2" s="2455"/>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Fisher CUSD 1</v>
      </c>
      <c r="C1" s="2474"/>
      <c r="D1" s="2474"/>
      <c r="E1" s="2474"/>
      <c r="F1" s="2474"/>
      <c r="G1" s="2474"/>
      <c r="H1" s="2474"/>
      <c r="I1" s="2474"/>
      <c r="J1" s="1422"/>
    </row>
    <row r="2" spans="2:10" s="317" customFormat="1" ht="12.75" customHeight="1" x14ac:dyDescent="0.2">
      <c r="B2" s="2475">
        <f>'Single Audit Cover'!E7</f>
        <v>9010001026</v>
      </c>
      <c r="C2" s="2476"/>
      <c r="D2" s="2476"/>
      <c r="E2" s="2476"/>
      <c r="F2" s="2476"/>
      <c r="G2" s="2476"/>
      <c r="H2" s="2476"/>
      <c r="I2" s="2476"/>
      <c r="J2" s="1422"/>
    </row>
    <row r="3" spans="2:10" s="317" customFormat="1" ht="12.75" customHeight="1" x14ac:dyDescent="0.2">
      <c r="B3" s="2477" t="s">
        <v>1347</v>
      </c>
      <c r="C3" s="2478"/>
      <c r="D3" s="2478"/>
      <c r="E3" s="2478"/>
      <c r="F3" s="2478"/>
      <c r="G3" s="2478"/>
      <c r="H3" s="2478"/>
      <c r="I3" s="2478"/>
      <c r="J3" s="1423"/>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7" t="s">
        <v>1346</v>
      </c>
      <c r="C7" s="2478"/>
      <c r="D7" s="2478"/>
      <c r="E7" s="2478"/>
      <c r="F7" s="2478"/>
      <c r="G7" s="2478"/>
      <c r="H7" s="2478"/>
      <c r="I7" s="247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9"/>
      <c r="D11" s="247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0"/>
      <c r="E29" s="2480"/>
      <c r="F29" s="2480"/>
      <c r="G29" s="2480"/>
      <c r="H29" s="2480"/>
      <c r="I29" s="248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1" t="s">
        <v>1854</v>
      </c>
      <c r="D37" s="2482"/>
      <c r="E37" s="2482"/>
      <c r="F37" s="2483"/>
      <c r="G37" s="2481" t="s">
        <v>1674</v>
      </c>
      <c r="H37" s="2482"/>
      <c r="I37" s="2483"/>
    </row>
    <row r="38" spans="2:9" ht="16.5" customHeight="1" x14ac:dyDescent="0.2">
      <c r="B38" s="1444"/>
      <c r="C38" s="2469"/>
      <c r="D38" s="2470"/>
      <c r="E38" s="2470"/>
      <c r="F38" s="2471"/>
      <c r="G38" s="2484"/>
      <c r="H38" s="2485"/>
      <c r="I38" s="2486"/>
    </row>
    <row r="39" spans="2:9" ht="16.5" customHeight="1" x14ac:dyDescent="0.2">
      <c r="B39" s="1444"/>
      <c r="C39" s="2469"/>
      <c r="D39" s="2470"/>
      <c r="E39" s="2470"/>
      <c r="F39" s="2471"/>
      <c r="G39" s="2472"/>
      <c r="H39" s="2472"/>
      <c r="I39" s="2472"/>
    </row>
    <row r="40" spans="2:9" ht="16.5" customHeight="1" x14ac:dyDescent="0.2">
      <c r="B40" s="1444"/>
      <c r="C40" s="2469"/>
      <c r="D40" s="2470"/>
      <c r="E40" s="2470"/>
      <c r="F40" s="2471"/>
      <c r="G40" s="2472"/>
      <c r="H40" s="2472"/>
      <c r="I40" s="2472"/>
    </row>
    <row r="41" spans="2:9" ht="16.5" customHeight="1" x14ac:dyDescent="0.2">
      <c r="B41" s="1444"/>
      <c r="C41" s="2469"/>
      <c r="D41" s="2470"/>
      <c r="E41" s="2470"/>
      <c r="F41" s="2471"/>
      <c r="G41" s="2472"/>
      <c r="H41" s="2472"/>
      <c r="I41" s="2472"/>
    </row>
    <row r="42" spans="2:9" ht="16.5" customHeight="1" x14ac:dyDescent="0.2">
      <c r="B42" s="1444"/>
      <c r="C42" s="2469"/>
      <c r="D42" s="2470"/>
      <c r="E42" s="2470"/>
      <c r="F42" s="2471"/>
      <c r="G42" s="2472"/>
      <c r="H42" s="2472"/>
      <c r="I42" s="2472"/>
    </row>
    <row r="43" spans="2:9" ht="16.5" customHeight="1" x14ac:dyDescent="0.2">
      <c r="B43" s="1444"/>
      <c r="C43" s="2487" t="s">
        <v>1675</v>
      </c>
      <c r="D43" s="2488"/>
      <c r="E43" s="2488"/>
      <c r="F43" s="2489"/>
      <c r="G43" s="2490">
        <f>SUM(G38:I42)</f>
        <v>0</v>
      </c>
      <c r="H43" s="2490"/>
      <c r="I43" s="2490"/>
    </row>
    <row r="44" spans="2:9" ht="12.75" customHeight="1" x14ac:dyDescent="0.2"/>
    <row r="45" spans="2:9" ht="12.75" customHeight="1" x14ac:dyDescent="0.2">
      <c r="B45" s="1435" t="s">
        <v>1951</v>
      </c>
      <c r="D45" s="2491">
        <v>0</v>
      </c>
      <c r="E45" s="249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3"/>
      <c r="F49" s="2493"/>
      <c r="G49" s="249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Fisher CUSD 1</v>
      </c>
      <c r="C1" s="2473"/>
      <c r="D1" s="2473"/>
      <c r="E1" s="2473"/>
      <c r="F1" s="2473"/>
      <c r="G1" s="2473"/>
      <c r="H1" s="2473"/>
      <c r="I1" s="2473"/>
      <c r="J1" s="2473"/>
      <c r="K1" s="2473"/>
      <c r="L1" s="1374"/>
      <c r="M1" s="1374"/>
    </row>
    <row r="2" spans="1:13" ht="12" customHeight="1" x14ac:dyDescent="0.2">
      <c r="B2" s="2475">
        <f>'Single Audit Cover'!E7</f>
        <v>9010001026</v>
      </c>
      <c r="C2" s="2475"/>
      <c r="D2" s="2475"/>
      <c r="E2" s="2475"/>
      <c r="F2" s="2475"/>
      <c r="G2" s="2475"/>
      <c r="H2" s="2475"/>
      <c r="I2" s="2475"/>
      <c r="J2" s="2475"/>
      <c r="K2" s="2475"/>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Fisher CUSD 1</v>
      </c>
      <c r="C1" s="2500"/>
      <c r="D1" s="2500"/>
      <c r="E1" s="2500"/>
      <c r="F1" s="2500"/>
      <c r="G1" s="2500"/>
      <c r="H1" s="2500"/>
      <c r="I1" s="2500"/>
      <c r="J1" s="2500"/>
      <c r="K1" s="2500"/>
      <c r="L1" s="1465"/>
    </row>
    <row r="2" spans="1:12" ht="12.75" customHeight="1" x14ac:dyDescent="0.2">
      <c r="B2" s="2501">
        <f>'Single Audit Cover'!E7</f>
        <v>9010001026</v>
      </c>
      <c r="C2" s="2501"/>
      <c r="D2" s="2501"/>
      <c r="E2" s="2501"/>
      <c r="F2" s="2501"/>
      <c r="G2" s="2501"/>
      <c r="H2" s="2501"/>
      <c r="I2" s="2501"/>
      <c r="J2" s="2501"/>
      <c r="K2" s="2501"/>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0"/>
      <c r="G12" s="2480"/>
      <c r="H12" s="2480"/>
      <c r="I12" s="2480"/>
      <c r="J12" s="2480"/>
      <c r="K12" s="248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3" t="str">
        <f>'Single Audit Cover'!A7</f>
        <v>Fisher CUSD 1</v>
      </c>
      <c r="C1" s="2473"/>
      <c r="D1" s="2473"/>
      <c r="E1" s="1491"/>
    </row>
    <row r="2" spans="2:5" s="1282" customFormat="1" ht="12.75" customHeight="1" x14ac:dyDescent="0.2">
      <c r="B2" s="2475">
        <f>'Single Audit Cover'!E7</f>
        <v>9010001026</v>
      </c>
      <c r="C2" s="2475"/>
      <c r="D2" s="2475"/>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d21dc803-237d-4c68-8692-8d731fd29118"/>
    <ds:schemaRef ds:uri="http://schemas.microsoft.com/sharepoint/v3"/>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4d435f69-8686-490b-bd6d-b153bf22ab50"/>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2018-10-10T12:40:29Z</cp:lastPrinted>
  <dcterms:created xsi:type="dcterms:W3CDTF">2003-10-29T19:06:34Z</dcterms:created>
  <dcterms:modified xsi:type="dcterms:W3CDTF">2018-11-16T22:02:37Z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