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9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12" i="11" l="1"/>
  <c r="G21" i="127" l="1"/>
  <c r="G13" i="127"/>
  <c r="G17" i="127" s="1"/>
  <c r="H12"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s="1"/>
  <c r="B5105" i="106"/>
  <c r="D5105" i="106" s="1"/>
  <c r="B5106" i="106"/>
  <c r="D5106" i="106" s="1"/>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s="1"/>
  <c r="B6331" i="106"/>
  <c r="D6331" i="106" s="1"/>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1" i="127"/>
  <c r="B62"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13" i="7"/>
  <c r="B3726" i="106" s="1"/>
  <c r="D3726" i="106" s="1"/>
  <c r="B5770" i="106"/>
  <c r="D5770" i="106" s="1"/>
  <c r="F131" i="34"/>
  <c r="F128" i="34"/>
  <c r="F127" i="34"/>
  <c r="F111" i="34"/>
  <c r="B5847" i="106"/>
  <c r="D5847" i="106" s="1"/>
  <c r="B5752" i="106"/>
  <c r="D5752" i="106" s="1"/>
  <c r="B5599" i="106"/>
  <c r="D5599" i="106" s="1"/>
  <c r="K274" i="5"/>
  <c r="C172" i="5"/>
  <c r="B5214" i="106" s="1"/>
  <c r="D5214" i="106" s="1"/>
  <c r="H109" i="5"/>
  <c r="B6025" i="106" s="1"/>
  <c r="D6025" i="106" s="1"/>
  <c r="F106" i="34"/>
  <c r="H4" i="4"/>
  <c r="B2655" i="106"/>
  <c r="D2655" i="106" s="1"/>
  <c r="B1746" i="106"/>
  <c r="D1746" i="106" s="1"/>
  <c r="D12" i="7"/>
  <c r="B1769" i="106" s="1"/>
  <c r="D1769" i="106" s="1"/>
  <c r="D15" i="7"/>
  <c r="B1772" i="106" s="1"/>
  <c r="D1772" i="106" s="1"/>
  <c r="D11" i="7" l="1"/>
  <c r="B1768" i="106" s="1"/>
  <c r="D1768" i="106" s="1"/>
  <c r="D17" i="7"/>
  <c r="B4104" i="106" s="1"/>
  <c r="D4104" i="106" s="1"/>
  <c r="H173" i="5"/>
  <c r="F130" i="34"/>
  <c r="F136" i="34"/>
  <c r="D9" i="7"/>
  <c r="B1767" i="106" s="1"/>
  <c r="D1767" i="106" s="1"/>
  <c r="I173" i="5"/>
  <c r="B4216" i="106" s="1"/>
  <c r="D4216" i="106" s="1"/>
  <c r="F172" i="5"/>
  <c r="B5644" i="106" s="1"/>
  <c r="D5644" i="106" s="1"/>
  <c r="G109" i="5"/>
  <c r="B6024" i="106" s="1"/>
  <c r="D6024" i="106" s="1"/>
  <c r="B5096" i="106"/>
  <c r="D5096" i="106" s="1"/>
  <c r="L312" i="29"/>
  <c r="F36" i="34"/>
  <c r="F34" i="34"/>
  <c r="B7235" i="106"/>
  <c r="D7235" i="106" s="1"/>
  <c r="B6261" i="106"/>
  <c r="D6261" i="106" s="1"/>
  <c r="J77" i="4"/>
  <c r="B6262" i="106" s="1"/>
  <c r="D6262" i="106" s="1"/>
  <c r="B6191" i="106"/>
  <c r="D6191" i="106" s="1"/>
  <c r="J41" i="3"/>
  <c r="B3649" i="106"/>
  <c r="D3649" i="106" s="1"/>
  <c r="G367" i="29"/>
  <c r="B3621" i="106"/>
  <c r="D3621" i="106" s="1"/>
  <c r="C367" i="29"/>
  <c r="K76" i="4"/>
  <c r="B3586" i="106" s="1"/>
  <c r="D3586" i="106" s="1"/>
  <c r="E174" i="29"/>
  <c r="B1309" i="106" s="1"/>
  <c r="D1309" i="106" s="1"/>
  <c r="K24" i="12"/>
  <c r="C129" i="29"/>
  <c r="K350" i="29"/>
  <c r="B1410" i="106"/>
  <c r="D1410" i="106" s="1"/>
  <c r="G4" i="4"/>
  <c r="B2603" i="106" s="1"/>
  <c r="D2603" i="106" s="1"/>
  <c r="G210" i="29"/>
  <c r="K184" i="29"/>
  <c r="F13" i="4" s="1"/>
  <c r="B2596" i="106" s="1"/>
  <c r="D2596" i="106" s="1"/>
  <c r="D7" i="7"/>
  <c r="B1763" i="106" s="1"/>
  <c r="D1763" i="106" s="1"/>
  <c r="B1329" i="106"/>
  <c r="D1329" i="106" s="1"/>
  <c r="F61" i="34"/>
  <c r="D109" i="5"/>
  <c r="B5356" i="106" s="1"/>
  <c r="D5356" i="106" s="1"/>
  <c r="D5" i="7"/>
  <c r="B1761" i="106" s="1"/>
  <c r="D1761" i="106" s="1"/>
  <c r="C173" i="5"/>
  <c r="B5223" i="106" s="1"/>
  <c r="D5223" i="106" s="1"/>
  <c r="C109" i="5"/>
  <c r="B5121" i="106" s="1"/>
  <c r="D5121" i="106" s="1"/>
  <c r="L13" i="11"/>
  <c r="B2060" i="106" s="1"/>
  <c r="D2060" i="106" s="1"/>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L114" i="29" l="1"/>
  <c r="F275" i="5"/>
  <c r="H367" i="29"/>
  <c r="B3660" i="106" s="1"/>
  <c r="D3660" i="106" s="1"/>
  <c r="B5906" i="106"/>
  <c r="D5906" i="106" s="1"/>
  <c r="H6" i="4"/>
  <c r="B7733" i="106"/>
  <c r="D7733" i="106" s="1"/>
  <c r="K26" i="12"/>
  <c r="B7743" i="106" s="1"/>
  <c r="D7743" i="106" s="1"/>
  <c r="B1317" i="106"/>
  <c r="D1317" i="106" s="1"/>
  <c r="D19" i="7"/>
  <c r="B1775" i="106" s="1"/>
  <c r="D1775" i="106" s="1"/>
  <c r="B3670" i="106"/>
  <c r="D3670" i="106" s="1"/>
  <c r="K352" i="29"/>
  <c r="K342" i="29"/>
  <c r="F13" i="34" s="1"/>
  <c r="B3447" i="106"/>
  <c r="D3447" i="106" s="1"/>
  <c r="B1365" i="106"/>
  <c r="D1365" i="106" s="1"/>
  <c r="F65" i="34"/>
  <c r="D4" i="4"/>
  <c r="B2564" i="106" s="1"/>
  <c r="D2564" i="106" s="1"/>
  <c r="C114" i="29"/>
  <c r="B757" i="106" s="1"/>
  <c r="D757" i="106" s="1"/>
  <c r="C6" i="4"/>
  <c r="B2553" i="106" s="1"/>
  <c r="D2553" i="106" s="1"/>
  <c r="C4" i="4"/>
  <c r="B2551" i="106" s="1"/>
  <c r="D2551" i="106" s="1"/>
  <c r="D44" i="36"/>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K367" i="29"/>
  <c r="B3678" i="106" s="1"/>
  <c r="D3678" i="106" s="1"/>
  <c r="J17" i="4"/>
  <c r="J19" i="4" s="1"/>
  <c r="B6229" i="106" s="1"/>
  <c r="D6229" i="106" s="1"/>
  <c r="F8" i="4"/>
  <c r="D8" i="14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H10" i="4"/>
  <c r="B4127" i="106" s="1"/>
  <c r="D4127" i="106" s="1"/>
  <c r="B2658" i="106"/>
  <c r="D2658" i="106" s="1"/>
  <c r="K368" i="29"/>
  <c r="B3681" i="106" s="1"/>
  <c r="D3681" i="106" s="1"/>
  <c r="B6227" i="106"/>
  <c r="D6227"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<sst xmlns="http://schemas.openxmlformats.org/spreadsheetml/2006/main" count="5068" uniqueCount="2133">
  <si>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</si>
  <si>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</si>
  <si>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</si>
  <si>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</si>
  <si>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</si>
  <si>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</si>
  <si>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</si>
  <si>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</si>
  <si>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</si>
  <si>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</si>
  <si>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</si>
  <si>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</si>
  <si>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</si>
  <si>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</si>
  <si>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</si>
  <si>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</si>
  <si>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</si>
  <si>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</si>
  <si>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</si>
  <si>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</si>
  <si>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</si>
  <si>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</si>
  <si>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</si>
  <si>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</si>
  <si>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</si>
  <si>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</si>
  <si>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</si>
  <si>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</si>
  <si>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</si>
  <si>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</si>
  <si>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</si>
  <si>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</si>
  <si>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</si>
  <si>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</si>
  <si>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</si>
  <si>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</si>
  <si>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</si>
  <si>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</si>
  <si>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</si>
  <si>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</si>
  <si>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</si>
  <si>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</si>
  <si>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</si>
  <si>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</si>
  <si>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</si>
  <si>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</si>
  <si>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</si>
  <si>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</si>
  <si>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</si>
  <si>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</si>
  <si>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</si>
  <si>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</si>
  <si>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</si>
  <si>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</si>
  <si>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</si>
  <si>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</si>
  <si>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</si>
  <si>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</si>
  <si>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</si>
  <si>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</si>
  <si>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</si>
  <si>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</si>
  <si>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</si>
  <si>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</si>
  <si>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</si>
  <si>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</si>
  <si>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</si>
  <si>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</si>
  <si>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</si>
  <si>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</si>
  <si>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</si>
  <si>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</si>
  <si>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</si>
  <si>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</si>
  <si>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</si>
  <si>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</si>
  <si>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</si>
  <si>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</si>
  <si>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</si>
  <si>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</si>
  <si>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</si>
  <si>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</si>
  <si>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</si>
  <si>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</si>
  <si>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</si>
  <si>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</si>
  <si>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</si>
  <si>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</si>
  <si>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</si>
  <si>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</si>
  <si>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</si>
  <si>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</si>
  <si>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</si>
  <si>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</si>
  <si>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</si>
  <si>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</si>
  <si>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</si>
  <si>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</si>
  <si>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</si>
  <si>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</si>
  <si>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</si>
  <si>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</si>
  <si>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</si>
  <si>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</si>
  <si>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</si>
  <si>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</si>
  <si>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</si>
  <si>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</si>
  <si>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</si>
  <si>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</si>
  <si>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</si>
  <si>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</si>
  <si>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</si>
  <si>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</si>
  <si>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</si>
  <si>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</si>
  <si>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</si>
  <si>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</si>
  <si>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</si>
  <si>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</si>
  <si>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</si>
  <si>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</si>
  <si>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</si>
  <si>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</si>
  <si>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</si>
  <si>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</si>
  <si>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</si>
  <si>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</si>
  <si>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</si>
  <si>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</si>
  <si>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</si>
  <si>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</si>
  <si>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</si>
  <si>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</si>
  <si>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</si>
  <si>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</si>
  <si>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</si>
  <si>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</si>
  <si>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</si>
  <si>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</si>
  <si>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</si>
  <si>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</si>
  <si>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</si>
  <si>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</si>
  <si>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</si>
  <si>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</si>
  <si>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</si>
  <si>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</si>
  <si>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</si>
  <si>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</si>
  <si>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</si>
  <si>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</si>
  <si>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</si>
  <si>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</si>
  <si>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</si>
  <si>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</si>
  <si>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</si>
  <si>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</si>
  <si>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</si>
  <si>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</si>
  <si>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</si>
  <si>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</si>
  <si>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</si>
  <si>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</si>
  <si>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</si>
  <si>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</si>
  <si>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</si>
  <si>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</si>
  <si>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</si>
  <si>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</si>
  <si>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</si>
  <si>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</si>
  <si>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</si>
  <si>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</si>
  <si>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</si>
  <si>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</si>
  <si>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</si>
  <si>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</si>
  <si>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</si>
  <si>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</si>
  <si>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</si>
  <si>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</si>
  <si>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</si>
  <si>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</si>
  <si>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</si>
  <si>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</si>
  <si>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</si>
  <si>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</si>
  <si>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</si>
  <si>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</si>
  <si>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</si>
  <si>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</si>
  <si>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</si>
  <si>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</si>
  <si>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</si>
  <si>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</si>
  <si>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</si>
  <si>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</si>
  <si>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</si>
  <si>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</si>
  <si>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</si>
  <si>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</si>
  <si>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</si>
  <si>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</si>
  <si>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</si>
  <si>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</si>
  <si>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</si>
  <si>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</si>
  <si>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</si>
  <si>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</si>
  <si>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</si>
  <si>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</si>
  <si>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</si>
  <si>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</si>
  <si>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</si>
  <si>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</si>
  <si>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</si>
  <si>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</si>
  <si>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</si>
  <si>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</si>
  <si>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</si>
  <si>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</si>
  <si>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</si>
  <si>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</si>
  <si>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</si>
  <si>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</si>
  <si>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</si>
  <si>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</si>
  <si>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</si>
  <si>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</si>
  <si>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</si>
  <si>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</si>
  <si>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</si>
  <si>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</si>
  <si>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</si>
  <si>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</si>
  <si>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</si>
  <si>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</si>
  <si>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</si>
  <si>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</si>
  <si>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</si>
  <si>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</si>
  <si>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</si>
  <si>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</si>
  <si>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</si>
  <si>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</si>
  <si>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</si>
  <si>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</si>
  <si>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</si>
  <si>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</si>
  <si>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</si>
  <si>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</si>
  <si>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</si>
  <si>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</si>
  <si>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</si>
  <si>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</si>
  <si>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</si>
  <si>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</si>
  <si>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</si>
  <si>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</si>
  <si>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</si>
  <si>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</si>
  <si>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</si>
  <si>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</si>
  <si>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</si>
  <si>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</si>
  <si>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</si>
  <si>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</si>
  <si>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</si>
  <si>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</si>
  <si>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</si>
  <si>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</si>
  <si>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</si>
  <si>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</si>
  <si>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</si>
  <si>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</si>
  <si>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</si>
  <si>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</si>
  <si>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</si>
  <si>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</si>
  <si>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</si>
  <si>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</si>
  <si>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</si>
  <si>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</si>
  <si>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</si>
  <si>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</si>
  <si>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</si>
  <si>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</si>
  <si>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</si>
  <si>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</si>
  <si>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</si>
  <si>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</si>
  <si>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</si>
  <si>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</si>
  <si>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</si>
  <si>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</si>
  <si>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</si>
  <si>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</si>
  <si>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</si>
  <si>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</si>
  <si>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</si>
  <si>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</si>
  <si>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</si>
  <si>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</si>
  <si>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</si>
  <si>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</si>
  <si>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</si>
  <si>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</si>
  <si>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</si>
  <si>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</si>
  <si>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</si>
  <si>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</si>
  <si>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</si>
  <si>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</si>
  <si>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</si>
  <si>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</si>
  <si>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</si>
  <si>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</si>
  <si>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</si>
  <si>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</si>
  <si>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</si>
  <si>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</si>
  <si>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</si>
  <si>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</si>
  <si>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</si>
  <si>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</si>
  <si>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</si>
  <si>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</si>
  <si>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</si>
  <si>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</si>
  <si>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</si>
  <si>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</si>
  <si>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</si>
  <si>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</si>
  <si>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</si>
  <si>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</si>
  <si>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</si>
  <si>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</si>
  <si>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</si>
  <si>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</si>
  <si>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</si>
  <si>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</si>
  <si>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</si>
  <si>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</si>
  <si>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</si>
  <si>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</si>
  <si>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</si>
  <si>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</si>
  <si>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</si>
  <si>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</si>
  <si>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</si>
  <si>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</si>
  <si>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</si>
  <si>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</si>
  <si>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</si>
  <si>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</si>
  <si>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</si>
  <si>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</si>
  <si>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</si>
  <si>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</si>
  <si>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</si>
  <si>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</si>
  <si>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</si>
  <si>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</si>
  <si>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</si>
  <si>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</si>
  <si>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</si>
  <si>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</si>
  <si>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</si>
  <si>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</si>
  <si>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</si>
  <si>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</si>
  <si>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</si>
  <si>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</si>
  <si>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</si>
  <si>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</si>
  <si>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</si>
  <si>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</si>
  <si>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</si>
  <si>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</si>
  <si>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</si>
  <si>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</si>
  <si>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</si>
  <si>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</si>
  <si>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</si>
  <si>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</si>
  <si>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</si>
  <si>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</si>
  <si>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</si>
  <si>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</si>
  <si>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</si>
  <si>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</si>
  <si>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</si>
  <si>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</si>
  <si>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</si>
  <si>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</si>
  <si>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</si>
  <si>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</si>
  <si>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</si>
  <si>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</si>
  <si>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</si>
  <si>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</si>
  <si>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</si>
  <si>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</si>
  <si>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</si>
  <si>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</si>
  <si>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</si>
  <si>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</si>
  <si>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</si>
  <si>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</si>
  <si>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</si>
  <si>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</si>
  <si>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</si>
  <si>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</si>
  <si>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</si>
  <si>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</si>
  <si>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</si>
  <si>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</si>
  <si>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</si>
  <si>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</si>
  <si>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</si>
  <si>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</si>
  <si>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</si>
  <si>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</si>
  <si>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</si>
  <si>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</si>
  <si>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</si>
  <si>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</si>
  <si>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</si>
  <si>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</si>
  <si>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</si>
  <si>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</si>
  <si>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</si>
  <si>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</si>
  <si>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</si>
  <si>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</si>
  <si>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</si>
  <si>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</si>
  <si>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</si>
  <si>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</si>
  <si>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</si>
  <si>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</si>
  <si>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</si>
  <si>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</si>
  <si>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</si>
  <si>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</si>
  <si>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</si>
  <si>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</si>
  <si>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</si>
  <si>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</si>
  <si>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</si>
  <si>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</si>
  <si>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</si>
  <si>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</si>
  <si>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</si>
  <si>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</si>
  <si>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</si>
  <si>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</si>
  <si>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</si>
  <si>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</si>
  <si>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</si>
  <si>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</si>
  <si>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</si>
  <si>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</si>
  <si>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</si>
  <si>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</si>
  <si>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</si>
  <si>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</si>
  <si>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</si>
  <si>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</si>
  <si>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</si>
  <si>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</si>
  <si>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</si>
  <si>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</si>
  <si>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</si>
  <si>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</si>
  <si>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</si>
  <si>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</si>
  <si>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</si>
  <si>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</si>
  <si>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</si>
  <si>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</si>
  <si>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</si>
  <si>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</si>
  <si>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</si>
  <si>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</si>
  <si>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</si>
  <si>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</si>
  <si>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</si>
  <si>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</si>
  <si>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</si>
  <si>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</si>
  <si>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</si>
  <si>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</si>
  <si>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</si>
  <si>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</si>
  <si>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</si>
  <si>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</si>
  <si>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</si>
  <si>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</si>
  <si>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</si>
  <si>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</si>
  <si>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</si>
  <si>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</si>
  <si>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</si>
  <si>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</si>
  <si>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</si>
  <si>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</si>
  <si>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</si>
  <si>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</si>
  <si>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</si>
  <si>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</si>
  <si>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</si>
  <si>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</si>
  <si>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</si>
  <si>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</si>
  <si>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</si>
  <si>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</si>
  <si>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</si>
  <si>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</si>
  <si>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</si>
  <si>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</si>
  <si>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</si>
  <si>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</si>
  <si>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</si>
  <si>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</si>
  <si>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</si>
  <si>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</si>
  <si>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</si>
  <si>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</si>
  <si>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</si>
  <si>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</si>
  <si>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</si>
  <si>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</si>
  <si>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</si>
  <si>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</si>
  <si>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</si>
  <si>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</si>
  <si>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</si>
  <si>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</si>
  <si>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</si>
  <si>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</si>
  <si>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</si>
  <si>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</si>
  <si>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</si>
  <si>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</si>
  <si>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</si>
  <si>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</si>
  <si>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</si>
  <si>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</si>
  <si>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</si>
  <si>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</si>
  <si>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</si>
  <si>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</si>
  <si>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</si>
  <si>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</si>
  <si>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</si>
  <si>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</si>
  <si>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</si>
  <si>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</si>
  <si>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</si>
  <si>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</si>
  <si>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</si>
  <si>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</si>
  <si>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</si>
  <si>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</si>
  <si>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</si>
  <si>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</si>
  <si>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</si>
  <si>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</si>
  <si>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</si>
  <si>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</si>
  <si>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</si>
  <si>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</si>
  <si>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</si>
  <si>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</si>
  <si>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</si>
  <si>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</si>
  <si>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</si>
  <si>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</si>
  <si>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</si>
  <si>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</si>
  <si>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</si>
  <si>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</si>
  <si>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</si>
  <si>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</si>
  <si>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</si>
  <si>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</si>
  <si>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</si>
  <si>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</si>
  <si>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</si>
  <si>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</si>
  <si>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</si>
  <si>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</si>
  <si>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</si>
  <si>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</si>
  <si>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</si>
  <si>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</si>
  <si>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</si>
  <si>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</si>
  <si>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</si>
  <si>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</si>
  <si>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</si>
  <si>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</si>
  <si>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</si>
  <si>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</si>
  <si>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</si>
  <si>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</si>
  <si>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</si>
  <si>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</si>
  <si>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</si>
  <si>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</si>
  <si>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</si>
  <si>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</si>
  <si>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</si>
  <si>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</si>
  <si>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</si>
  <si>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</si>
  <si>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</si>
  <si>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</si>
  <si>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</si>
  <si>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</si>
  <si>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</si>
  <si>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</si>
  <si>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</si>
  <si>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</si>
  <si>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</si>
  <si>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</si>
  <si>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</si>
  <si>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</si>
  <si>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</si>
  <si>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</si>
  <si>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</si>
  <si>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</si>
  <si>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</si>
  <si>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</si>
  <si>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</si>
  <si>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</si>
  <si>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</si>
  <si>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</si>
  <si>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</si>
  <si>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</si>
  <si>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</si>
  <si>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</si>
  <si>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</si>
  <si>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</si>
  <si>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</si>
  <si>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</si>
  <si>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</si>
  <si>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</si>
  <si>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</si>
  <si>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</si>
  <si>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</si>
  <si>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</si>
  <si>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</si>
  <si>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</si>
  <si>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</si>
  <si>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</si>
  <si>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</si>
  <si>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</si>
  <si>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</si>
  <si>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</si>
  <si>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</si>
  <si>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</si>
  <si>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</si>
  <si>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</si>
  <si>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</si>
  <si>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</si>
  <si>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</si>
  <si>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</si>
  <si>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</si>
  <si>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</si>
  <si>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</si>
  <si>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</si>
  <si>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</si>
  <si>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</si>
  <si>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</si>
  <si>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</si>
  <si>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</si>
  <si>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</si>
  <si>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</si>
  <si>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</si>
  <si>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</si>
  <si>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</si>
  <si>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</si>
  <si>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</si>
  <si>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</si>
  <si>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</si>
  <si>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</si>
  <si>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</si>
  <si>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</si>
  <si>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</si>
  <si>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</si>
  <si>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</si>
  <si>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</si>
  <si>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</si>
  <si>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</si>
  <si>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</si>
  <si>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</si>
  <si>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</si>
  <si>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</si>
  <si>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</si>
  <si>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</si>
  <si>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</si>
  <si>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</si>
  <si>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</si>
  <si>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</si>
  <si>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</si>
  <si>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</si>
  <si>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</si>
  <si>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</si>
  <si>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</si>
  <si>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</si>
  <si>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</si>
  <si>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</si>
  <si>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</si>
  <si>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</si>
  <si>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</si>
  <si>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</si>
  <si>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</si>
  <si>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</si>
  <si>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</si>
  <si>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</si>
  <si>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</si>
  <si>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</si>
  <si>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</si>
  <si>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</si>
  <si>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</si>
  <si>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</si>
  <si>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</si>
  <si>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</si>
  <si>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</si>
  <si>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</si>
  <si>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</si>
  <si>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</si>
  <si>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</si>
  <si>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</si>
  <si>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</si>
  <si>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</si>
  <si>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</si>
  <si>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</si>
  <si>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</si>
  <si>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</si>
  <si>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</si>
  <si>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</si>
  <si>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</si>
  <si>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</si>
  <si>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</si>
  <si>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</si>
  <si>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</si>
  <si>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</si>
  <si>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</si>
  <si>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</si>
  <si>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</si>
  <si>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</si>
  <si>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</si>
  <si>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</si>
  <si>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</si>
  <si>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</si>
  <si>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</si>
  <si>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</si>
  <si>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</si>
  <si>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</si>
  <si>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</si>
  <si>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</si>
  <si>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</si>
  <si>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</si>
  <si>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</si>
  <si>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</si>
  <si>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</si>
  <si>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</si>
  <si>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</si>
  <si>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</si>
  <si>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</si>
  <si>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</si>
  <si>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</si>
  <si>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</si>
  <si>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</si>
  <si>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</si>
  <si>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</si>
  <si>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</si>
  <si>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</si>
  <si>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</si>
  <si>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</si>
  <si>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</si>
  <si>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</si>
  <si>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</si>
  <si>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</si>
  <si>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</si>
  <si>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</si>
  <si>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</si>
  <si>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</si>
  <si>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</si>
  <si>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</si>
  <si>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</si>
  <si>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</si>
  <si>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</si>
  <si>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</si>
  <si>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</si>
  <si>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</si>
  <si>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</si>
  <si>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</si>
  <si>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</si>
  <si>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</si>
  <si>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</si>
  <si>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</si>
  <si>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</si>
  <si>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</si>
  <si>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</si>
  <si>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</si>
  <si>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</si>
  <si>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</si>
  <si>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</si>
  <si>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</si>
  <si>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</si>
  <si>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</si>
  <si>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</si>
  <si>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</si>
  <si>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</si>
  <si>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</si>
  <si>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</si>
  <si>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</si>
  <si>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</si>
  <si>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</si>
  <si>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</si>
  <si>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</si>
  <si>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</si>
  <si>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</si>
  <si>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</si>
  <si>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</si>
  <si>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</si>
  <si>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</si>
  <si>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</si>
  <si>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</si>
  <si>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</si>
  <si>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</si>
  <si>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</si>
  <si>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</si>
  <si>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</si>
  <si>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</si>
  <si>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</si>
  <si>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</si>
  <si>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</si>
  <si>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</si>
  <si>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</si>
  <si>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</si>
  <si>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</si>
  <si>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</si>
  <si>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</si>
  <si>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</si>
  <si>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</si>
  <si>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</si>
  <si>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</si>
  <si>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</si>
  <si>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</si>
  <si>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</si>
  <si>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</si>
  <si>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</si>
  <si>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</si>
  <si>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</si>
  <si>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</si>
  <si>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</si>
  <si>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</si>
  <si>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</si>
  <si>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</si>
  <si>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</si>
  <si>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</si>
  <si>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</si>
  <si>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</si>
  <si>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</si>
  <si>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</si>
  <si>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</si>
  <si>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</si>
  <si>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</si>
  <si>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</si>
  <si>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</si>
  <si>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</si>
  <si>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</si>
  <si>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</si>
  <si>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</si>
  <si>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</si>
  <si>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</si>
  <si>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</si>
  <si>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</si>
  <si>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</si>
  <si>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</si>
  <si>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</si>
  <si>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</si>
  <si>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</si>
  <si>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</si>
  <si>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</si>
  <si>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</si>
  <si>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</si>
  <si>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</si>
  <si>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</si>
  <si>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</si>
  <si>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</si>
  <si>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</si>
  <si>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</si>
  <si>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</si>
  <si>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</si>
  <si>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</si>
  <si>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</si>
  <si>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</si>
  <si>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</si>
  <si>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</si>
  <si>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</si>
  <si>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</si>
  <si>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</si>
  <si>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</si>
  <si>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</si>
  <si>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</si>
  <si>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</si>
  <si>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</si>
  <si>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</si>
  <si>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</si>
  <si>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</si>
  <si>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</si>
  <si>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</si>
  <si>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</si>
  <si>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</si>
  <si>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</si>
  <si>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</si>
  <si>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</si>
  <si>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</si>
  <si>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</si>
  <si>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</si>
  <si>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</si>
  <si>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</si>
  <si>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</si>
  <si>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</si>
  <si>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</si>
  <si>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</si>
  <si>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</si>
  <si>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</si>
  <si>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</si>
  <si>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</si>
  <si>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</si>
  <si>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</si>
  <si>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</si>
  <si>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</si>
  <si>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</si>
  <si>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</si>
  <si>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</si>
  <si>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</si>
  <si>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</si>
  <si>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</si>
  <si>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</si>
  <si>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</si>
  <si>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</si>
  <si>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</si>
  <si>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</si>
  <si>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</si>
  <si>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</si>
  <si>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</si>
  <si>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</si>
  <si>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</si>
  <si>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</si>
  <si>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</si>
  <si>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</si>
  <si>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</si>
  <si>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</si>
  <si>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</si>
  <si>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</si>
  <si>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</si>
  <si>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</si>
  <si>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</si>
  <si>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</si>
  <si>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</si>
  <si>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</si>
  <si>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</si>
  <si>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</si>
  <si>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</si>
  <si>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</si>
  <si>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</si>
  <si>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</si>
  <si>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</si>
  <si>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</si>
  <si>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</si>
  <si>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</si>
  <si>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</si>
  <si>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</si>
  <si>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</si>
  <si>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</si>
  <si>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</si>
  <si>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</si>
  <si>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</si>
  <si>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</si>
  <si>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</si>
  <si>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</si>
  <si>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</si>
  <si>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</si>
  <si>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</si>
  <si>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</si>
  <si>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</si>
  <si>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</si>
  <si>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</si>
  <si>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</si>
  <si>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</si>
  <si>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</si>
  <si>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</si>
  <si>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</si>
  <si>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</si>
  <si>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</si>
  <si>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</si>
  <si>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</si>
  <si>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</si>
  <si>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</si>
  <si>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</si>
  <si>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</si>
  <si>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</si>
  <si>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</si>
  <si>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</si>
  <si>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</si>
  <si>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</si>
  <si>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</si>
  <si>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</si>
  <si>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</si>
  <si>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</si>
  <si>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</si>
  <si>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</si>
  <si>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</si>
  <si>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</si>
  <si>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</si>
  <si>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</si>
  <si>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</si>
  <si>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</si>
  <si>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</si>
  <si>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</si>
  <si>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</si>
  <si>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</si>
  <si>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</si>
  <si>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</si>
  <si>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</si>
  <si>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</si>
  <si>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</si>
  <si>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</si>
  <si>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</si>
  <si>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</si>
  <si>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</si>
  <si>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</si>
  <si>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</si>
  <si>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</si>
  <si>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</si>
  <si>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</si>
  <si>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</si>
  <si>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</si>
  <si>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</si>
  <si>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</si>
  <si>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</si>
  <si>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</si>
  <si>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</si>
  <si>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</si>
  <si>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</si>
  <si>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</si>
  <si>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</si>
  <si>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</si>
  <si>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</si>
  <si>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</si>
  <si>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</si>
  <si>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</si>
  <si>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</si>
  <si>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</si>
  <si>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</si>
  <si>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</si>
  <si>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</si>
  <si>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</si>
  <si>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</si>
  <si>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</si>
  <si>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</si>
  <si>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</si>
  <si>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</si>
  <si>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</si>
  <si>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</si>
  <si>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</si>
  <si>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</si>
  <si>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</si>
  <si>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</si>
  <si>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</si>
  <si>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</si>
  <si>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</si>
  <si>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</si>
  <si>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</si>
  <si>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</si>
  <si>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</si>
  <si>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</si>
  <si>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</si>
  <si>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</si>
  <si>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</si>
  <si>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</si>
  <si>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</si>
  <si>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</si>
  <si>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</si>
  <si>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</si>
  <si>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</si>
  <si>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</si>
  <si>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</si>
  <si>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</si>
  <si>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</si>
  <si>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</si>
  <si>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</si>
  <si>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</si>
  <si>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</si>
  <si>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</si>
  <si>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</si>
  <si>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</si>
  <si>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</si>
  <si>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</si>
  <si>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</si>
  <si>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</si>
  <si>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</si>
  <si>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</si>
  <si>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</si>
  <si>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</si>
  <si>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</si>
  <si>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</si>
  <si>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</si>
  <si>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</si>
  <si>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</si>
  <si>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</si>
  <si>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</si>
  <si>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</si>
  <si>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</si>
  <si>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</si>
  <si>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</si>
  <si>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</si>
  <si>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</si>
  <si>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</si>
  <si>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</si>
  <si>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</si>
  <si>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</si>
  <si>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</si>
  <si>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</si>
  <si>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</si>
  <si>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</si>
  <si>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</si>
  <si>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</si>
  <si>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</si>
  <si>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</si>
  <si>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</si>
  <si>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</si>
  <si>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</si>
  <si>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</si>
  <si>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</si>
  <si>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</si>
  <si>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</si>
  <si>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</si>
  <si>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</si>
  <si>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</si>
  <si>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</si>
  <si>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</si>
  <si>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</si>
  <si>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</si>
  <si>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</si>
  <si>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</si>
  <si>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</si>
  <si>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</si>
  <si>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</si>
  <si>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</si>
  <si>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</si>
  <si>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</si>
  <si>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</si>
  <si>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</si>
  <si>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</si>
  <si>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</si>
  <si>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</si>
  <si>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</si>
  <si>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</si>
  <si>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</si>
  <si>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</si>
  <si>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</si>
  <si>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</si>
  <si>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</si>
  <si>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</si>
  <si>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</si>
  <si>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</si>
  <si>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</si>
  <si>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</si>
  <si>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</si>
  <si>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</si>
  <si>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</si>
  <si>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</si>
  <si>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</si>
  <si>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</si>
  <si>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</si>
  <si>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</si>
  <si>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</si>
  <si>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</si>
  <si>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</si>
  <si>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</si>
  <si>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</si>
  <si>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</si>
  <si>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</si>
  <si>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</si>
  <si>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</si>
  <si>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</si>
  <si>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</si>
  <si>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</si>
  <si>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</si>
  <si>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</si>
  <si>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</si>
  <si>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</si>
  <si>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</si>
  <si>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</si>
  <si>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</si>
  <si>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</si>
  <si>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</si>
  <si>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</si>
  <si>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</si>
  <si>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</si>
  <si>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</si>
  <si>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</si>
  <si>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</si>
  <si>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</si>
  <si>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</si>
  <si>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</si>
  <si>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</si>
  <si>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</si>
  <si>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</si>
  <si>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</si>
  <si>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</si>
  <si>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</si>
  <si>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</si>
  <si>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</si>
  <si>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</si>
  <si>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</si>
  <si>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</si>
  <si>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</si>
  <si>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</si>
  <si>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</si>
  <si>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</si>
  <si>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</si>
  <si>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</si>
  <si>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</si>
  <si>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</si>
  <si>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</si>
  <si>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</si>
  <si>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</si>
  <si>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</si>
  <si>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</si>
  <si>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</si>
  <si>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</si>
  <si>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</si>
  <si>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</si>
  <si>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</si>
  <si>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</si>
  <si>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</si>
  <si>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</si>
  <si>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</si>
  <si>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</si>
  <si>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</si>
  <si>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</si>
  <si>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</si>
  <si>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</si>
  <si>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</si>
  <si>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</si>
  <si>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</si>
  <si>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</si>
  <si>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</si>
  <si>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</si>
  <si>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</si>
  <si>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</si>
  <si>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</si>
  <si>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</si>
  <si>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</si>
  <si>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</si>
  <si>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</si>
  <si>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</si>
  <si>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</si>
  <si>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</si>
  <si>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</si>
  <si>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</si>
  <si>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</si>
  <si>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</si>
  <si>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</si>
  <si>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</si>
  <si>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</si>
  <si>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</si>
  <si>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</si>
  <si>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</si>
  <si>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</si>
  <si>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</si>
  <si>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</si>
  <si>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</si>
  <si>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</si>
  <si>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</si>
  <si>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</si>
  <si>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</si>
  <si>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</si>
  <si>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</si>
  <si>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</si>
  <si>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</si>
  <si>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</si>
  <si>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</si>
  <si>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</si>
  <si>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</si>
  <si>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</si>
  <si>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</si>
  <si>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</si>
  <si>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</si>
  <si>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</si>
  <si>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</si>
  <si>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</si>
  <si>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</si>
  <si>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</si>
  <si>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</si>
  <si>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</si>
  <si>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</si>
  <si>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</si>
  <si>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</si>
  <si>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</si>
  <si>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</si>
  <si>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</si>
  <si>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</si>
  <si>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</si>
  <si>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</si>
  <si>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</si>
  <si>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</si>
  <si>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</si>
  <si>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</si>
  <si>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</si>
  <si>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</si>
  <si>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</si>
  <si>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</si>
  <si>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</si>
  <si>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</si>
  <si>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</si>
  <si>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</si>
  <si>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</si>
  <si>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</si>
  <si>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</si>
  <si>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</si>
  <si>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</si>
  <si>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</si>
  <si>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</si>
  <si>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</si>
  <si>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</si>
  <si>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</si>
  <si>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</si>
  <si>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</si>
  <si>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</si>
  <si>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</si>
  <si>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</si>
  <si>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</si>
  <si>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</si>
  <si>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</si>
  <si>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</si>
  <si>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</si>
  <si>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</si>
  <si>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</si>
  <si>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</si>
  <si>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</si>
  <si>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</si>
  <si>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</si>
  <si>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</si>
  <si>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</si>
  <si>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</si>
  <si>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</si>
  <si>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</si>
  <si>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</si>
  <si>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</si>
  <si>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</si>
  <si>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</si>
  <si>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</si>
  <si>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</si>
  <si>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</si>
  <si>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</si>
  <si>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</si>
  <si>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</si>
  <si>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</si>
  <si>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</si>
  <si>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</si>
  <si>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</si>
  <si>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</si>
  <si>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</si>
  <si>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</si>
  <si>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</si>
  <si>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</si>
  <si>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</si>
  <si>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</si>
  <si>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</si>
  <si>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</si>
  <si>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</si>
  <si>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</si>
  <si>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</si>
  <si>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</si>
  <si>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</si>
  <si>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</si>
  <si>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</si>
  <si>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</si>
  <si>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</si>
  <si>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</si>
  <si>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</si>
  <si>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</si>
  <si>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</si>
  <si>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</si>
  <si>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</si>
  <si>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</si>
  <si>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</si>
  <si>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</si>
  <si>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</si>
  <si>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</si>
  <si>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</si>
  <si>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</si>
  <si>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</si>
  <si>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</si>
  <si>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</si>
  <si>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</si>
  <si>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</si>
  <si>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</si>
  <si>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</si>
  <si>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</si>
  <si>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</si>
  <si>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</si>
  <si>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</si>
  <si>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</si>
  <si>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</si>
  <si>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</si>
  <si>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</si>
  <si>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</si>
  <si>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</si>
  <si>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</si>
  <si>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</si>
  <si>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</si>
  <si>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</si>
  <si>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</si>
  <si>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</si>
  <si>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</si>
  <si>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</si>
  <si>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</si>
  <si>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</si>
  <si>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</si>
  <si>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</si>
  <si>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</si>
  <si>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</si>
  <si>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</si>
  <si>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</si>
  <si>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</si>
  <si>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</si>
  <si>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</si>
  <si>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</si>
  <si>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</si>
  <si>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</si>
  <si>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</si>
  <si>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</si>
  <si>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</si>
  <si>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</si>
  <si>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</si>
  <si>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</si>
  <si>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</si>
  <si>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</si>
  <si>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</si>
  <si>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</si>
  <si>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</si>
  <si>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</si>
  <si>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</si>
  <si>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</si>
  <si>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</si>
  <si>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</si>
  <si>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</si>
  <si>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</si>
  <si>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</si>
  <si>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</si>
  <si>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</si>
  <si>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</si>
  <si>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</si>
  <si>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</si>
  <si>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</si>
  <si>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</si>
  <si>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</si>
  <si>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</si>
  <si>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</si>
  <si>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</si>
  <si>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</si>
  <si>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</si>
  <si>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</si>
  <si>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</si>
  <si>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</si>
  <si>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</si>
  <si>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</si>
  <si>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</si>
  <si>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</si>
  <si>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</si>
  <si>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</si>
  <si>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</si>
  <si>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</si>
  <si>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</si>
  <si>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</si>
  <si>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</si>
  <si>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</si>
  <si>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</si>
  <si>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</si>
  <si>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</si>
  <si>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</si>
  <si>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</si>
  <si>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</si>
  <si>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</si>
  <si>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</si>
  <si>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</si>
  <si>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</si>
  <si>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</si>
  <si>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</si>
  <si>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</si>
  <si>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</si>
  <si>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</si>
  <si>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</si>
  <si>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</si>
  <si>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</si>
  <si>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</si>
  <si>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</si>
  <si>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</si>
  <si>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</si>
  <si>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</si>
  <si>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</si>
  <si>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</si>
  <si>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</si>
  <si>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</si>
  <si>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</si>
  <si>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</si>
  <si>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</si>
  <si>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</si>
  <si>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</si>
  <si>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</si>
  <si>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</si>
  <si>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</si>
  <si>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</si>
  <si>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</si>
  <si>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</si>
  <si>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</si>
  <si>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</si>
  <si>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</si>
  <si>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</si>
  <si>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</si>
  <si>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</si>
  <si>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</si>
  <si>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</si>
  <si>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</si>
  <si>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</si>
  <si>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</si>
  <si>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</si>
  <si>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</si>
  <si>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</si>
  <si>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</si>
  <si>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</si>
  <si>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</si>
  <si>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</si>
  <si>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</si>
  <si>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</si>
  <si>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</si>
  <si>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</si>
  <si>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</si>
  <si>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</si>
  <si>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</si>
  <si>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</si>
  <si>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</si>
  <si>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</si>
  <si>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</si>
  <si>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</si>
  <si>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</si>
  <si>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</si>
  <si>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</si>
  <si>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</si>
  <si>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</si>
  <si>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</si>
  <si>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</si>
  <si>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</si>
  <si>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</si>
  <si>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</si>
  <si>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</si>
  <si>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</si>
  <si>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</si>
  <si>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</si>
  <si>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</si>
  <si>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</si>
  <si>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</si>
  <si>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</si>
  <si>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</si>
  <si>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</si>
  <si>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</si>
  <si>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</si>
  <si>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</si>
  <si>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</si>
  <si>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</si>
  <si>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</si>
  <si>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</si>
  <si>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</si>
  <si>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</si>
  <si>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</si>
  <si>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</si>
  <si>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</si>
  <si>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</si>
  <si>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</si>
  <si>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</si>
  <si>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</si>
  <si>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</si>
  <si>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</si>
  <si>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</si>
  <si>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</si>
  <si>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</si>
  <si>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</si>
  <si>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</si>
  <si>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</si>
  <si>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</si>
  <si>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</si>
  <si>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</si>
  <si>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</si>
  <si>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</si>
  <si>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</si>
  <si>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</si>
  <si>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</si>
  <si>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</si>
  <si>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</si>
  <si>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</si>
  <si>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</si>
  <si>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</si>
  <si>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</si>
  <si>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</si>
  <si>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</si>
  <si>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</si>
  <si>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</si>
  <si>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</si>
  <si>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</si>
  <si>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</si>
  <si>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</si>
  <si>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</si>
  <si>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</si>
  <si>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</si>
  <si>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</si>
  <si>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</si>
  <si>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</si>
  <si>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</si>
  <si>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</si>
  <si>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</si>
  <si>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</si>
  <si>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</si>
  <si>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</si>
  <si>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</si>
  <si>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</si>
  <si>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</si>
  <si>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</si>
  <si>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</si>
  <si>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</si>
  <si>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</si>
  <si>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</si>
  <si>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</si>
  <si>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</si>
  <si>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</si>
  <si>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</si>
  <si>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</si>
  <si>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</si>
  <si>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</si>
  <si>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</si>
  <si>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</si>
  <si>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</si>
  <si>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</si>
  <si>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</si>
  <si>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</si>
  <si>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</si>
  <si>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</si>
  <si>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</si>
  <si>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</si>
  <si>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</si>
  <si>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</si>
  <si>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</si>
  <si>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</si>
  <si>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</si>
  <si>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</si>
  <si>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</si>
  <si>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</si>
  <si>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</si>
  <si>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</si>
  <si>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</si>
  <si>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</si>
  <si>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</si>
  <si>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</si>
  <si>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</si>
  <si>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</si>
  <si>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</si>
  <si>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</si>
  <si>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</si>
  <si>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</si>
  <si>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</si>
  <si>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</si>
  <si>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</si>
  <si>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</si>
  <si>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</si>
  <si>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</si>
  <si>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</si>
  <si>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</si>
  <si>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</si>
  <si>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</si>
  <si>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</si>
  <si>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</si>
  <si>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</si>
  <si>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</si>
  <si>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</si>
  <si>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</si>
  <si>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</si>
  <si>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</si>
  <si>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</si>
  <si>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</si>
  <si>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</si>
  <si>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</si>
  <si>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</si>
  <si>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</si>
  <si>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</si>
  <si>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</si>
  <si>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</si>
  <si>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</si>
  <si>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</si>
  <si>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</si>
  <si>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</si>
  <si>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</si>
  <si>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</si>
  <si>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</si>
  <si>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</si>
  <si>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</si>
  <si>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</si>
  <si>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</si>
  <si>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</si>
  <si>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</si>
  <si>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</si>
  <si>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</si>
  <si>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</si>
  <si>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</si>
  <si>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</si>
  <si>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</si>
  <si>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</si>
  <si>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</si>
  <si>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</si>
  <si>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</si>
  <si>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</si>
  <si>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</si>
  <si>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</si>
  <si>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</si>
  <si>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</si>
  <si>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</si>
  <si>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</si>
  <si>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</si>
  <si>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</si>
  <si>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</si>
  <si>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</si>
  <si>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</si>
  <si>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</si>
  <si>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</si>
  <si>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</si>
  <si>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</si>
  <si>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</si>
  <si>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</si>
  <si>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</si>
  <si>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</si>
  <si>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</si>
  <si>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</si>
  <si>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</si>
  <si>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</si>
  <si>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</si>
  <si>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</si>
  <si>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</si>
  <si>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</si>
  <si>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</si>
  <si>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</si>
  <si>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</si>
  <si>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</si>
  <si>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</si>
  <si>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</si>
  <si>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</si>
  <si>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</si>
  <si>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</si>
  <si>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</si>
  <si>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</si>
  <si>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</si>
  <si>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</si>
  <si>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</si>
  <si>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</si>
  <si>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</si>
  <si>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</si>
  <si>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</si>
  <si>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</si>
  <si>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</si>
  <si>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</si>
  <si>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</si>
  <si>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</si>
  <si>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</si>
  <si>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</si>
  <si>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</si>
  <si>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</si>
  <si>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</si>
  <si>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</si>
  <si>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</si>
  <si>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</si>
  <si>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</si>
  <si>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</si>
  <si>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</si>
  <si>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</si>
  <si>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</si>
  <si>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</si>
  <si>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</si>
  <si>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</si>
  <si>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</si>
  <si>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</si>
  <si>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</si>
  <si>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</si>
  <si>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</si>
  <si>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</si>
  <si>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</si>
  <si>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</si>
  <si>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</si>
  <si>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</si>
  <si>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</si>
  <si>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</si>
  <si>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</si>
  <si>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</si>
  <si>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</si>
  <si>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</si>
  <si>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</si>
  <si>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</si>
  <si>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</si>
  <si>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</si>
  <si>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</si>
  <si>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</si>
  <si>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</si>
  <si>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</si>
  <si>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</si>
  <si>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</si>
  <si>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</si>
  <si>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</si>
  <si>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</si>
  <si>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</si>
  <si>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</si>
  <si>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</si>
  <si>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</si>
  <si>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</si>
  <si>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</si>
  <si>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</si>
  <si>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</si>
  <si>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</si>
  <si>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</si>
  <si>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</si>
  <si>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</si>
  <si>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</si>
  <si>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</si>
  <si>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</si>
  <si>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</si>
  <si>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</si>
  <si>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</si>
  <si>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</si>
  <si>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</si>
  <si>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</si>
  <si>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</si>
  <si>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</si>
  <si>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</si>
  <si>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</si>
  <si>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</si>
  <si>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</si>
  <si>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</si>
  <si>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</si>
  <si>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</si>
  <si>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</si>
  <si>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</si>
  <si>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</si>
  <si>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</si>
  <si>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</si>
  <si>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</si>
  <si>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</si>
  <si>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</si>
  <si>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</si>
  <si>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</si>
  <si>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</si>
  <si>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</si>
  <si>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</si>
  <si>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</si>
  <si>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</si>
  <si>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</si>
  <si>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</si>
  <si>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</si>
  <si>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</si>
  <si>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</si>
  <si>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</si>
  <si>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</si>
  <si>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</si>
  <si>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</si>
  <si>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</si>
  <si>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</si>
  <si>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</si>
  <si>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</si>
  <si>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</si>
  <si>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</si>
  <si>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</si>
  <si>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</si>
  <si>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</si>
  <si>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</si>
  <si>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</si>
  <si>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</si>
  <si>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</si>
  <si>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</si>
  <si>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</si>
  <si>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</si>
  <si>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</si>
  <si>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</si>
  <si>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</si>
  <si>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</si>
  <si>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</si>
  <si>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</si>
  <si>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</si>
  <si>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</si>
  <si>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</si>
  <si>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</si>
  <si>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</si>
  <si>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</si>
  <si>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</si>
  <si>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</si>
  <si>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</si>
  <si>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</si>
  <si>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</si>
  <si>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</si>
  <si>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</si>
  <si>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</si>
  <si>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</si>
  <si>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</si>
  <si>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</si>
  <si>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</si>
  <si>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</si>
  <si>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</si>
  <si>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</si>
  <si>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</si>
  <si>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</si>
  <si>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</si>
  <si>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</si>
  <si>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</si>
  <si>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</si>
  <si>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</si>
  <si>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</si>
  <si>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</si>
  <si>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</si>
  <si>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</si>
  <si>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</si>
  <si>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</si>
  <si>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</si>
  <si>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</si>
  <si>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</si>
  <si>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</si>
  <si>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</si>
  <si>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</si>
  <si>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</si>
  <si>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</si>
  <si>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</si>
  <si>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</si>
  <si>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</si>
  <si>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</si>
  <si>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</si>
  <si>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</si>
  <si>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</si>
  <si>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</si>
  <si>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</si>
  <si>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</si>
  <si>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</si>
  <si>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</si>
  <si>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</si>
  <si>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</si>
  <si>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</si>
  <si>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</si>
  <si>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</si>
  <si>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</si>
  <si>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</si>
  <si>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</si>
  <si>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</si>
  <si>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</si>
  <si>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</si>
  <si>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</si>
  <si>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</si>
  <si>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</si>
  <si>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</si>
  <si>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</si>
  <si>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</si>
  <si>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</si>
  <si>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</si>
  <si>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</si>
  <si>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</si>
  <si>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</si>
  <si>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</si>
  <si>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</si>
  <si>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</si>
  <si>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</si>
  <si>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</si>
  <si>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</si>
  <si>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</si>
  <si>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</si>
  <si>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</si>
  <si>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</si>
  <si>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</si>
  <si>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</si>
  <si>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</si>
  <si>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</si>
  <si>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</si>
  <si>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</si>
  <si>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</si>
  <si>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</si>
  <si>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</si>
  <si>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</si>
  <si>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</si>
  <si>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</si>
  <si>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</si>
  <si>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</si>
  <si>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</si>
  <si>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</si>
  <si>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</si>
  <si>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</si>
  <si>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</si>
  <si>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</si>
  <si>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</si>
  <si>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</si>
  <si>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</si>
  <si>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</si>
  <si>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</si>
  <si>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</si>
  <si>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</si>
  <si>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</si>
  <si>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</si>
  <si>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</si>
  <si>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</si>
  <si>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</si>
  <si>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</si>
  <si>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</si>
  <si>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</si>
  <si>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</si>
  <si>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</si>
  <si>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</si>
  <si>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</si>
  <si>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</si>
  <si>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</si>
  <si>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</si>
  <si>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</si>
  <si>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</si>
  <si>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</si>
  <si>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</si>
  <si>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</si>
  <si>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</si>
  <si>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</si>
  <si>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</si>
  <si>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</si>
  <si>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</si>
  <si>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</si>
  <si>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</si>
  <si>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</si>
  <si>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</si>
  <si>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</si>
  <si>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</si>
  <si>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</si>
  <si>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</si>
  <si>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</si>
  <si>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</si>
  <si>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</si>
  <si>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</si>
  <si>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</si>
  <si>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</si>
  <si>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</si>
  <si>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</si>
  <si>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</si>
  <si>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</si>
  <si>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</si>
  <si>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</si>
  <si>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</si>
  <si>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</si>
  <si>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</si>
  <si>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</si>
  <si>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</si>
  <si>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</si>
  <si>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</si>
  <si>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</si>
  <si>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</si>
  <si>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</si>
  <si>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</si>
  <si>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</si>
  <si>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</si>
  <si>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</si>
  <si>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</si>
  <si>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</si>
  <si>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</si>
  <si>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</si>
  <si>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50 W. DOUGLAS STREET, SUITE 801</t>
  </si>
  <si>
    <t>FREEPORT</t>
  </si>
  <si>
    <t>815/235-3157</t>
  </si>
  <si>
    <t>815/235-3158</t>
  </si>
  <si>
    <t>066-004238</t>
  </si>
  <si>
    <t>IL</t>
  </si>
  <si>
    <t>STEPHENSON</t>
  </si>
  <si>
    <t>100 S. SUMMIT</t>
  </si>
  <si>
    <t>PEARL CITY</t>
  </si>
  <si>
    <t>X</t>
  </si>
  <si>
    <t>TIMOTHY THILL</t>
  </si>
  <si>
    <t>tthill@pcwolves.net</t>
  </si>
  <si>
    <t>815/443-2715</t>
  </si>
  <si>
    <t>815/443-2237</t>
  </si>
  <si>
    <t>AARON MERCIER</t>
  </si>
  <si>
    <t>amercier@roe8.com</t>
  </si>
  <si>
    <t>815/599-1408</t>
  </si>
  <si>
    <t>815/297-9032</t>
  </si>
  <si>
    <t>Capital Appreciation School Construction</t>
  </si>
  <si>
    <t>Copier Capital Lease</t>
  </si>
  <si>
    <t>Capital Lease</t>
  </si>
  <si>
    <t xml:space="preserve">APPI - Electricity, ICG - Natural Gas Cooperative </t>
  </si>
  <si>
    <t xml:space="preserve">Northwest Special Education Cooperative </t>
  </si>
  <si>
    <t xml:space="preserve">ROE #8 - Shared paper purchases </t>
  </si>
  <si>
    <t xml:space="preserve">CareerTEC </t>
  </si>
  <si>
    <t>ED-Support Services Pupils-Purchased Service</t>
  </si>
  <si>
    <t>Jennifer Petta</t>
  </si>
  <si>
    <t>TR-Pupil Transportation Services-Purchased Service</t>
  </si>
  <si>
    <t>40-2550-300</t>
  </si>
  <si>
    <t>Santander Leasing LLC</t>
  </si>
  <si>
    <t xml:space="preserve">Page </t>
  </si>
  <si>
    <t xml:space="preserve">Line </t>
  </si>
  <si>
    <t xml:space="preserve">Fund </t>
  </si>
  <si>
    <t>Account #</t>
  </si>
  <si>
    <t>Special Milk Sales</t>
  </si>
  <si>
    <t>Miscellaneous Rebates</t>
  </si>
  <si>
    <t>Book/Student Fees</t>
  </si>
  <si>
    <t>Erate</t>
  </si>
  <si>
    <t xml:space="preserve">Misc Receipts </t>
  </si>
  <si>
    <t>Insurance Payments</t>
  </si>
  <si>
    <t>Janitorial Charges</t>
  </si>
  <si>
    <t>Bus Reimbursement</t>
  </si>
  <si>
    <t>State Library Grant</t>
  </si>
  <si>
    <t>Federal REAP Grant</t>
  </si>
  <si>
    <t>jblocker@benninggroup.com</t>
  </si>
  <si>
    <t>Additional Copier Capital Lease</t>
  </si>
  <si>
    <t>Chromebook Capital Lease</t>
  </si>
  <si>
    <t>10-2100-300</t>
  </si>
  <si>
    <t>x</t>
  </si>
  <si>
    <t>Copy and Postage Charges</t>
  </si>
  <si>
    <t>Reimbursements for Extracurricular Activities</t>
  </si>
  <si>
    <t>Audit Check:</t>
  </si>
  <si>
    <t>Error message #8 is a result of new capital leases issued in the amount of $53,253.</t>
  </si>
  <si>
    <t>Pearl City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</si>
</sst>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56" fillId="0" borderId="0" xfId="0" applyFont="1" applyAlignment="1">
      <alignment horizontal="center"/>
    </xf>
    <xf numFmtId="0" fontId="65" fillId="0" borderId="0" xfId="0" applyFont="1" applyAlignment="1">
      <alignment horizontal="center"/>
    </xf>
    <xf numFmtId="181" fontId="56" fillId="0" borderId="166" xfId="19" applyNumberFormat="1" applyFont="1" applyBorder="1"/>
    <xf numFmtId="181" fontId="56" fillId="0" borderId="167" xfId="19" applyNumberFormat="1" applyFont="1" applyBorder="1"/>
    <xf numFmtId="182" fontId="56" fillId="0" borderId="0" xfId="1" applyNumberFormat="1" applyFont="1"/>
    <xf numFmtId="49" fontId="1" fillId="0" borderId="158" xfId="17" applyNumberFormat="1" applyFont="1" applyBorder="1" applyAlignment="1" applyProtection="1">
      <alignment horizontal="center" vertical="top"/>
      <protection locked="0"/>
    </xf>
    <xf numFmtId="0" fontId="56" fillId="0" borderId="0" xfId="0" applyFont="1" applyAlignment="1">
      <alignment horizontal="right"/>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8" t="s">
        <v>425</v>
      </c>
      <c r="J1" s="2009"/>
      <c r="K1" s="2009"/>
      <c r="L1" s="2009"/>
      <c r="M1" s="2009"/>
      <c r="N1" s="2009"/>
      <c r="O1" s="2009"/>
      <c r="P1" s="2009"/>
      <c r="Q1" s="2009"/>
      <c r="R1" s="2009"/>
      <c r="S1" s="2009"/>
    </row>
    <row r="2" spans="1:28" ht="12" customHeight="1" x14ac:dyDescent="0.2">
      <c r="A2" s="47" t="s">
        <v>1684</v>
      </c>
      <c r="D2" s="48"/>
      <c r="I2" s="2010" t="s">
        <v>1036</v>
      </c>
      <c r="J2" s="2009"/>
      <c r="K2" s="2009"/>
      <c r="L2" s="2009"/>
      <c r="M2" s="2009"/>
      <c r="N2" s="2009"/>
      <c r="O2" s="2009"/>
      <c r="P2" s="2009"/>
      <c r="Q2" s="2009"/>
      <c r="R2" s="2009"/>
      <c r="S2" s="2009"/>
    </row>
    <row r="3" spans="1:28" ht="12" customHeight="1" x14ac:dyDescent="0.2">
      <c r="A3" s="155" t="s">
        <v>1685</v>
      </c>
      <c r="B3" s="156"/>
      <c r="C3" s="156"/>
      <c r="D3" s="157"/>
      <c r="I3" s="2010" t="s">
        <v>54</v>
      </c>
      <c r="J3" s="2009"/>
      <c r="K3" s="2009"/>
      <c r="L3" s="2009"/>
      <c r="M3" s="2009"/>
      <c r="N3" s="2009"/>
      <c r="O3" s="2009"/>
      <c r="P3" s="2009"/>
      <c r="Q3" s="2009"/>
      <c r="R3" s="2009"/>
      <c r="S3" s="2009"/>
    </row>
    <row r="4" spans="1:28" ht="12" customHeight="1" x14ac:dyDescent="0.2">
      <c r="A4" s="37"/>
      <c r="I4" s="2010" t="s">
        <v>545</v>
      </c>
      <c r="J4" s="2009"/>
      <c r="K4" s="2009"/>
      <c r="L4" s="2009"/>
      <c r="M4" s="2009"/>
      <c r="N4" s="2009"/>
      <c r="O4" s="2009"/>
      <c r="P4" s="2009"/>
      <c r="Q4" s="2009"/>
      <c r="R4" s="2009"/>
      <c r="S4" s="2009"/>
    </row>
    <row r="5" spans="1:28" ht="14.1" customHeight="1" x14ac:dyDescent="0.2">
      <c r="B5" s="104" t="s">
        <v>2088</v>
      </c>
      <c r="C5" s="26" t="s">
        <v>966</v>
      </c>
      <c r="D5" s="84"/>
      <c r="E5" s="84"/>
      <c r="H5" s="38"/>
      <c r="I5" s="2018" t="s">
        <v>701</v>
      </c>
      <c r="J5" s="2017"/>
      <c r="K5" s="2017"/>
      <c r="L5" s="2017"/>
      <c r="M5" s="2017"/>
      <c r="N5" s="2017"/>
      <c r="O5" s="2017"/>
      <c r="P5" s="2017"/>
      <c r="Q5" s="2017"/>
      <c r="R5" s="2017"/>
      <c r="S5" s="2017"/>
    </row>
    <row r="6" spans="1:28" ht="14.1" customHeight="1" x14ac:dyDescent="0.2">
      <c r="B6" s="104"/>
      <c r="C6" s="26" t="s">
        <v>967</v>
      </c>
      <c r="D6" s="84"/>
      <c r="E6" s="84"/>
      <c r="I6" s="2016" t="s">
        <v>938</v>
      </c>
      <c r="J6" s="2017"/>
      <c r="K6" s="2017"/>
      <c r="L6" s="2017"/>
      <c r="M6" s="2017"/>
      <c r="N6" s="2017"/>
      <c r="O6" s="2017"/>
      <c r="P6" s="2017"/>
      <c r="Q6" s="2017"/>
      <c r="R6" s="2017"/>
      <c r="S6" s="2017"/>
    </row>
    <row r="7" spans="1:28" ht="12.2" customHeight="1" x14ac:dyDescent="0.2">
      <c r="I7" s="2011">
        <v>43281</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695</v>
      </c>
      <c r="J9" s="2014"/>
      <c r="K9" s="2014"/>
      <c r="L9" s="2014"/>
      <c r="M9" s="2014"/>
      <c r="N9" s="2014"/>
      <c r="O9" s="2014"/>
      <c r="P9" s="2014"/>
      <c r="Q9" s="2014"/>
      <c r="R9" s="2014"/>
      <c r="S9" s="2015"/>
      <c r="T9" s="2029" t="s">
        <v>554</v>
      </c>
      <c r="U9" s="2030"/>
      <c r="V9" s="2030"/>
      <c r="W9" s="2030"/>
      <c r="X9" s="2030"/>
      <c r="Y9" s="2030"/>
      <c r="Z9" s="2030"/>
      <c r="AA9" s="2031"/>
    </row>
    <row r="10" spans="1:28" ht="13.5" customHeight="1" x14ac:dyDescent="0.2">
      <c r="A10" s="2036" t="s">
        <v>696</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1012</v>
      </c>
      <c r="B11" s="2040"/>
      <c r="C11" s="2040"/>
      <c r="D11" s="2040"/>
      <c r="E11" s="2040"/>
      <c r="F11" s="2040"/>
      <c r="G11" s="2040"/>
      <c r="H11" s="2041"/>
      <c r="I11" s="27"/>
      <c r="J11" s="74"/>
      <c r="K11" s="27"/>
      <c r="O11" s="148" t="s">
        <v>2088</v>
      </c>
      <c r="P11" s="100" t="s">
        <v>210</v>
      </c>
      <c r="Q11" s="30"/>
      <c r="R11" s="28"/>
      <c r="S11" s="27"/>
      <c r="T11" s="2033"/>
      <c r="U11" s="2034"/>
      <c r="V11" s="2034"/>
      <c r="W11" s="2034"/>
      <c r="X11" s="2034"/>
      <c r="Y11" s="2034"/>
      <c r="Z11" s="2034"/>
      <c r="AA11" s="203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3">
        <v>8089200026</v>
      </c>
      <c r="B13" s="2044"/>
      <c r="C13" s="2044"/>
      <c r="D13" s="2044"/>
      <c r="E13" s="2044"/>
      <c r="F13" s="2044"/>
      <c r="G13" s="2044"/>
      <c r="H13" s="2045"/>
      <c r="I13" s="31"/>
      <c r="J13" s="30"/>
      <c r="K13" s="28"/>
      <c r="L13" s="30"/>
      <c r="M13" s="30"/>
      <c r="N13" s="30"/>
      <c r="O13" s="30"/>
      <c r="P13" s="30"/>
      <c r="Q13" s="30"/>
      <c r="R13" s="30"/>
      <c r="S13" s="30"/>
      <c r="T13" s="2048" t="s">
        <v>2077</v>
      </c>
      <c r="U13" s="2049"/>
      <c r="V13" s="2049"/>
      <c r="W13" s="2049"/>
      <c r="X13" s="2049"/>
      <c r="Y13" s="2050"/>
      <c r="Z13" s="2050"/>
      <c r="AA13" s="205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2" t="s">
        <v>2085</v>
      </c>
      <c r="B15" s="2046"/>
      <c r="C15" s="2046"/>
      <c r="D15" s="2046"/>
      <c r="E15" s="2046"/>
      <c r="F15" s="2046"/>
      <c r="G15" s="2046"/>
      <c r="H15" s="2047"/>
      <c r="T15" s="2052" t="s">
        <v>2078</v>
      </c>
      <c r="U15" s="1996"/>
      <c r="V15" s="1996"/>
      <c r="W15" s="1996"/>
      <c r="X15" s="1996"/>
      <c r="Y15" s="2053"/>
      <c r="Z15" s="2053"/>
      <c r="AA15" s="205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2" t="s">
        <v>2132</v>
      </c>
      <c r="B17" s="2003"/>
      <c r="C17" s="2003"/>
      <c r="D17" s="2003"/>
      <c r="E17" s="2003"/>
      <c r="F17" s="2003"/>
      <c r="G17" s="2003"/>
      <c r="H17" s="2028"/>
      <c r="T17" s="2059" t="s">
        <v>2079</v>
      </c>
      <c r="U17" s="2060"/>
      <c r="V17" s="2060"/>
      <c r="W17" s="2060"/>
      <c r="X17" s="2060"/>
      <c r="Y17" s="2060"/>
      <c r="Z17" s="2060"/>
      <c r="AA17" s="2061"/>
    </row>
    <row r="18" spans="1:27" ht="13.5" customHeight="1" x14ac:dyDescent="0.2">
      <c r="A18" s="85" t="s">
        <v>551</v>
      </c>
      <c r="B18" s="76"/>
      <c r="C18" s="72"/>
      <c r="D18" s="76"/>
      <c r="E18" s="76"/>
      <c r="F18" s="76"/>
      <c r="G18" s="76"/>
      <c r="H18" s="56"/>
      <c r="I18" s="2027" t="s">
        <v>697</v>
      </c>
      <c r="J18" s="1978"/>
      <c r="K18" s="1978"/>
      <c r="L18" s="1978"/>
      <c r="M18" s="1978"/>
      <c r="N18" s="1978"/>
      <c r="O18" s="1978"/>
      <c r="P18" s="1978"/>
      <c r="Q18" s="1978"/>
      <c r="R18" s="1978"/>
      <c r="S18" s="1979"/>
      <c r="T18" s="85" t="s">
        <v>735</v>
      </c>
      <c r="U18" s="51"/>
      <c r="V18" s="72"/>
      <c r="W18" s="50"/>
      <c r="X18" s="85" t="s">
        <v>284</v>
      </c>
      <c r="Y18" s="81"/>
      <c r="Z18" s="159" t="s">
        <v>698</v>
      </c>
      <c r="AA18" s="46"/>
    </row>
    <row r="19" spans="1:27" ht="13.5" customHeight="1" x14ac:dyDescent="0.2">
      <c r="A19" s="2042" t="s">
        <v>2086</v>
      </c>
      <c r="B19" s="1988"/>
      <c r="C19" s="1988"/>
      <c r="D19" s="1988"/>
      <c r="E19" s="1988"/>
      <c r="F19" s="1988"/>
      <c r="G19" s="1988"/>
      <c r="H19" s="1968"/>
      <c r="I19" s="30"/>
      <c r="J19" s="99"/>
      <c r="K19" s="40"/>
      <c r="L19" s="38"/>
      <c r="M19" s="112" t="s">
        <v>333</v>
      </c>
      <c r="P19" s="27"/>
      <c r="Q19" s="27"/>
      <c r="R19" s="27"/>
      <c r="S19" s="31"/>
      <c r="T19" s="2042" t="s">
        <v>2080</v>
      </c>
      <c r="U19" s="1967"/>
      <c r="V19" s="1967"/>
      <c r="W19" s="1968"/>
      <c r="X19" s="2057" t="s">
        <v>2084</v>
      </c>
      <c r="Y19" s="2058"/>
      <c r="Z19" s="2055">
        <v>61032</v>
      </c>
      <c r="AA19" s="205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6" t="s">
        <v>2087</v>
      </c>
      <c r="B21" s="1967"/>
      <c r="C21" s="1967"/>
      <c r="D21" s="1967"/>
      <c r="E21" s="1967"/>
      <c r="F21" s="1967"/>
      <c r="G21" s="1967"/>
      <c r="H21" s="1968"/>
      <c r="I21" s="2022" t="s">
        <v>699</v>
      </c>
      <c r="J21" s="2017"/>
      <c r="K21" s="2017"/>
      <c r="L21" s="2017"/>
      <c r="M21" s="2017"/>
      <c r="N21" s="2017"/>
      <c r="O21" s="2017"/>
      <c r="P21" s="2017"/>
      <c r="Q21" s="2017"/>
      <c r="R21" s="2017"/>
      <c r="S21" s="2023"/>
      <c r="T21" s="2066" t="s">
        <v>2081</v>
      </c>
      <c r="U21" s="2067"/>
      <c r="V21" s="2067"/>
      <c r="W21" s="2067"/>
      <c r="X21" s="2072" t="s">
        <v>2082</v>
      </c>
      <c r="Y21" s="2073"/>
      <c r="Z21" s="2073"/>
      <c r="AA21" s="2074"/>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19"/>
      <c r="B23" s="2020"/>
      <c r="C23" s="2020"/>
      <c r="D23" s="2020"/>
      <c r="E23" s="2020"/>
      <c r="F23" s="2020"/>
      <c r="G23" s="2020"/>
      <c r="H23" s="2021"/>
      <c r="T23" s="2002" t="s">
        <v>2083</v>
      </c>
      <c r="U23" s="2065"/>
      <c r="V23" s="2065"/>
      <c r="W23" s="2065"/>
      <c r="X23" s="2069">
        <v>43434</v>
      </c>
      <c r="Y23" s="2070"/>
      <c r="Z23" s="2070"/>
      <c r="AA23" s="2071"/>
    </row>
    <row r="24" spans="1:27" ht="14.1" customHeight="1" x14ac:dyDescent="0.2">
      <c r="A24" s="88" t="s">
        <v>698</v>
      </c>
      <c r="B24" s="49"/>
      <c r="C24" s="49"/>
      <c r="D24" s="49"/>
      <c r="E24" s="49"/>
      <c r="F24" s="49"/>
      <c r="G24" s="49"/>
      <c r="H24" s="61"/>
      <c r="J24" s="1989">
        <f>IF(B5="x",IF(AUDITCHECK!D29="AFR form Incomplete.","",IF(AUDITCHECK!D29="Deficit reduction plan is required.","School District must complete a deficit reduction plan in the 2018-2019 Budget",)),"")</f>
        <v>0</v>
      </c>
      <c r="K24" s="1989"/>
      <c r="L24" s="1989"/>
      <c r="M24" s="1989"/>
      <c r="N24" s="1989"/>
      <c r="O24" s="1989"/>
      <c r="P24" s="1989"/>
      <c r="Q24" s="1989"/>
      <c r="R24" s="1989"/>
      <c r="S24" s="1990"/>
      <c r="T24" s="105" t="s">
        <v>552</v>
      </c>
      <c r="U24" s="106"/>
      <c r="V24" s="106"/>
      <c r="W24" s="106"/>
      <c r="X24" s="107"/>
      <c r="Y24" s="107"/>
      <c r="Z24" s="107"/>
      <c r="AA24" s="108"/>
    </row>
    <row r="25" spans="1:27" ht="14.1" customHeight="1" x14ac:dyDescent="0.2">
      <c r="A25" s="1966">
        <v>61062</v>
      </c>
      <c r="B25" s="1967"/>
      <c r="C25" s="1967"/>
      <c r="D25" s="1967"/>
      <c r="E25" s="1967"/>
      <c r="F25" s="1967"/>
      <c r="G25" s="1967"/>
      <c r="H25" s="1968"/>
      <c r="I25" s="113"/>
      <c r="J25" s="1991"/>
      <c r="K25" s="1991"/>
      <c r="L25" s="1991"/>
      <c r="M25" s="1991"/>
      <c r="N25" s="1991"/>
      <c r="O25" s="1991"/>
      <c r="P25" s="1991"/>
      <c r="Q25" s="1991"/>
      <c r="R25" s="1991"/>
      <c r="S25" s="1992"/>
      <c r="T25" s="2062" t="s">
        <v>2123</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7" t="s">
        <v>1591</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2088</v>
      </c>
      <c r="M29" s="40" t="s">
        <v>101</v>
      </c>
      <c r="N29" s="32" t="s">
        <v>1604</v>
      </c>
      <c r="O29" s="32"/>
      <c r="P29" s="32"/>
      <c r="Q29" s="32"/>
      <c r="R29" s="32"/>
      <c r="S29" s="123"/>
      <c r="T29" s="6"/>
      <c r="U29" s="6"/>
      <c r="V29" s="6"/>
      <c r="W29" s="6"/>
      <c r="X29" s="6"/>
      <c r="Y29" s="6"/>
      <c r="Z29" s="6"/>
      <c r="AA29" s="132"/>
    </row>
    <row r="30" spans="1:27" ht="13.5" customHeight="1" x14ac:dyDescent="0.2">
      <c r="A30" s="153"/>
      <c r="B30" s="136" t="s">
        <v>2088</v>
      </c>
      <c r="C30" s="124" t="s">
        <v>1226</v>
      </c>
      <c r="D30" s="28"/>
      <c r="E30" s="28"/>
      <c r="F30" s="140"/>
      <c r="G30" s="114"/>
      <c r="H30" s="114"/>
      <c r="I30" s="54"/>
      <c r="J30" s="102"/>
      <c r="K30" s="28" t="s">
        <v>597</v>
      </c>
      <c r="L30" s="148"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2" t="s">
        <v>2089</v>
      </c>
      <c r="B38" s="2003"/>
      <c r="C38" s="2003"/>
      <c r="D38" s="2003"/>
      <c r="E38" s="2003"/>
      <c r="F38" s="1967"/>
      <c r="G38" s="1967"/>
      <c r="H38" s="1968"/>
      <c r="I38" s="1995"/>
      <c r="J38" s="1996"/>
      <c r="K38" s="1996"/>
      <c r="L38" s="1996"/>
      <c r="M38" s="1996"/>
      <c r="N38" s="1996"/>
      <c r="O38" s="1996"/>
      <c r="P38" s="1997"/>
      <c r="Q38" s="1997"/>
      <c r="R38" s="1997"/>
      <c r="S38" s="1998"/>
      <c r="T38" s="2052" t="s">
        <v>2093</v>
      </c>
      <c r="U38" s="1996"/>
      <c r="V38" s="1996"/>
      <c r="W38" s="1996"/>
      <c r="X38" s="1997"/>
      <c r="Y38" s="1997"/>
      <c r="Z38" s="1997"/>
      <c r="AA38" s="1998"/>
    </row>
    <row r="39" spans="1:27" ht="12" customHeight="1" x14ac:dyDescent="0.2">
      <c r="A39" s="1972" t="s">
        <v>552</v>
      </c>
      <c r="B39" s="1973"/>
      <c r="C39" s="72"/>
      <c r="D39" s="69"/>
      <c r="E39" s="69"/>
      <c r="F39" s="79"/>
      <c r="G39" s="69"/>
      <c r="H39" s="56"/>
      <c r="I39" s="1972" t="s">
        <v>552</v>
      </c>
      <c r="J39" s="1973"/>
      <c r="K39" s="1973"/>
      <c r="L39" s="1973"/>
      <c r="M39" s="1973"/>
      <c r="N39" s="67"/>
      <c r="O39" s="72"/>
      <c r="P39" s="72"/>
      <c r="Q39" s="78"/>
      <c r="R39" s="72"/>
      <c r="S39" s="56"/>
      <c r="T39" s="72" t="s">
        <v>552</v>
      </c>
      <c r="U39" s="51"/>
      <c r="V39" s="72"/>
      <c r="W39" s="50"/>
      <c r="X39" s="78"/>
      <c r="Y39" s="45"/>
      <c r="Z39" s="45"/>
      <c r="AA39" s="46"/>
    </row>
    <row r="40" spans="1:27" ht="13.5" customHeight="1" x14ac:dyDescent="0.2">
      <c r="A40" s="1980" t="s">
        <v>2090</v>
      </c>
      <c r="B40" s="1981"/>
      <c r="C40" s="1982"/>
      <c r="D40" s="1982"/>
      <c r="E40" s="1982"/>
      <c r="F40" s="1983"/>
      <c r="G40" s="1983"/>
      <c r="H40" s="1984"/>
      <c r="I40" s="2005"/>
      <c r="J40" s="2006"/>
      <c r="K40" s="2006"/>
      <c r="L40" s="2006"/>
      <c r="M40" s="2006"/>
      <c r="N40" s="2006"/>
      <c r="O40" s="2006"/>
      <c r="P40" s="2006"/>
      <c r="Q40" s="2006"/>
      <c r="R40" s="2006"/>
      <c r="S40" s="2007"/>
      <c r="T40" s="2005" t="s">
        <v>2094</v>
      </c>
      <c r="U40" s="2068"/>
      <c r="V40" s="2006"/>
      <c r="W40" s="2006"/>
      <c r="X40" s="2006"/>
      <c r="Y40" s="2006"/>
      <c r="Z40" s="2006"/>
      <c r="AA40" s="20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4" t="s">
        <v>2091</v>
      </c>
      <c r="B42" s="1986"/>
      <c r="C42" s="1987"/>
      <c r="D42" s="1985" t="s">
        <v>2092</v>
      </c>
      <c r="E42" s="1986"/>
      <c r="F42" s="1986"/>
      <c r="G42" s="1986"/>
      <c r="H42" s="1987"/>
      <c r="I42" s="1969"/>
      <c r="J42" s="1970"/>
      <c r="K42" s="1970"/>
      <c r="L42" s="1970"/>
      <c r="M42" s="1970"/>
      <c r="N42" s="1970"/>
      <c r="O42" s="1971"/>
      <c r="P42" s="2004"/>
      <c r="Q42" s="1970"/>
      <c r="R42" s="1970"/>
      <c r="S42" s="1971"/>
      <c r="T42" s="1969" t="s">
        <v>2095</v>
      </c>
      <c r="U42" s="1970"/>
      <c r="V42" s="1970"/>
      <c r="W42" s="1971"/>
      <c r="X42" s="2004" t="s">
        <v>2096</v>
      </c>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5" sqref="T25:AA2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8" t="s">
        <v>1905</v>
      </c>
      <c r="B2" s="1550" t="s">
        <v>2037</v>
      </c>
      <c r="C2" s="715" t="s">
        <v>1910</v>
      </c>
      <c r="D2" s="715" t="s">
        <v>1911</v>
      </c>
      <c r="E2" s="715" t="s">
        <v>1912</v>
      </c>
      <c r="F2" s="715" t="s">
        <v>1913</v>
      </c>
    </row>
    <row r="3" spans="1:6" ht="12" customHeight="1" x14ac:dyDescent="0.2">
      <c r="A3" s="2209"/>
      <c r="B3" s="1547"/>
      <c r="C3" s="1548"/>
      <c r="D3" s="1549" t="s">
        <v>274</v>
      </c>
      <c r="E3" s="1548"/>
      <c r="F3" s="1549" t="s">
        <v>275</v>
      </c>
    </row>
    <row r="4" spans="1:6" ht="13.7" customHeight="1" x14ac:dyDescent="0.2">
      <c r="A4" s="716" t="s">
        <v>1217</v>
      </c>
      <c r="B4" s="1771">
        <f>'Revenues 9-14'!C5</f>
        <v>1386607</v>
      </c>
      <c r="C4" s="1546">
        <v>6103</v>
      </c>
      <c r="D4" s="1774">
        <f>B4-C4</f>
        <v>1380504</v>
      </c>
      <c r="E4" s="1546">
        <v>1608999</v>
      </c>
      <c r="F4" s="1774">
        <f>E4-C4</f>
        <v>1602896</v>
      </c>
    </row>
    <row r="5" spans="1:6" ht="13.7" customHeight="1" x14ac:dyDescent="0.2">
      <c r="A5" s="716" t="s">
        <v>925</v>
      </c>
      <c r="B5" s="1772">
        <f>'Revenues 9-14'!D5</f>
        <v>293525</v>
      </c>
      <c r="C5" s="585">
        <v>715</v>
      </c>
      <c r="D5" s="1775">
        <f t="shared" ref="D5:D18" si="0">B5-C5</f>
        <v>292810</v>
      </c>
      <c r="E5" s="585">
        <v>188452</v>
      </c>
      <c r="F5" s="1775">
        <f>E5-C5</f>
        <v>187737</v>
      </c>
    </row>
    <row r="6" spans="1:6" ht="13.7" customHeight="1" x14ac:dyDescent="0.2">
      <c r="A6" s="716" t="s">
        <v>431</v>
      </c>
      <c r="B6" s="1772">
        <f>'Revenues 9-14'!E5</f>
        <v>598486</v>
      </c>
      <c r="C6" s="585">
        <v>2368</v>
      </c>
      <c r="D6" s="1775">
        <f t="shared" si="0"/>
        <v>596118</v>
      </c>
      <c r="E6" s="585">
        <v>623104</v>
      </c>
      <c r="F6" s="1775">
        <f t="shared" ref="F6:F18" si="1">E6-C6</f>
        <v>620736</v>
      </c>
    </row>
    <row r="7" spans="1:6" ht="13.7" customHeight="1" x14ac:dyDescent="0.2">
      <c r="A7" s="716" t="s">
        <v>157</v>
      </c>
      <c r="B7" s="1772">
        <f>'Revenues 9-14'!F5</f>
        <v>108987</v>
      </c>
      <c r="C7" s="585">
        <v>439</v>
      </c>
      <c r="D7" s="1775">
        <f t="shared" si="0"/>
        <v>108548</v>
      </c>
      <c r="E7" s="585">
        <v>115643</v>
      </c>
      <c r="F7" s="1775">
        <f t="shared" si="1"/>
        <v>115204</v>
      </c>
    </row>
    <row r="8" spans="1:6" ht="13.7" customHeight="1" x14ac:dyDescent="0.2">
      <c r="A8" s="716" t="s">
        <v>1241</v>
      </c>
      <c r="B8" s="1772">
        <f>'Revenues 9-14'!G5</f>
        <v>68143</v>
      </c>
      <c r="C8" s="585">
        <v>317</v>
      </c>
      <c r="D8" s="1775">
        <f t="shared" si="0"/>
        <v>67826</v>
      </c>
      <c r="E8" s="585">
        <v>83605</v>
      </c>
      <c r="F8" s="1775">
        <f t="shared" si="1"/>
        <v>83288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17638</v>
      </c>
      <c r="C10" s="585">
        <v>71</v>
      </c>
      <c r="D10" s="1775">
        <f t="shared" si="0"/>
        <v>17567</v>
      </c>
      <c r="E10" s="585">
        <v>18709</v>
      </c>
      <c r="F10" s="1775">
        <f t="shared" si="1"/>
        <v>18638</v>
      </c>
    </row>
    <row r="11" spans="1:6" x14ac:dyDescent="0.2">
      <c r="A11" s="716" t="s">
        <v>429</v>
      </c>
      <c r="B11" s="1772">
        <f>'Revenues 9-14'!J5</f>
        <v>112748</v>
      </c>
      <c r="C11" s="585">
        <v>454</v>
      </c>
      <c r="D11" s="1775">
        <f t="shared" si="0"/>
        <v>112294</v>
      </c>
      <c r="E11" s="585">
        <v>119562</v>
      </c>
      <c r="F11" s="1775">
        <f t="shared" si="1"/>
        <v>119108</v>
      </c>
    </row>
    <row r="12" spans="1:6" ht="13.7" customHeight="1" x14ac:dyDescent="0.2">
      <c r="A12" s="716" t="s">
        <v>159</v>
      </c>
      <c r="B12" s="1772">
        <f>'Revenues 9-14'!K5</f>
        <v>26104</v>
      </c>
      <c r="C12" s="585">
        <v>105</v>
      </c>
      <c r="D12" s="1775">
        <f t="shared" si="0"/>
        <v>25999</v>
      </c>
      <c r="E12" s="585">
        <v>27686</v>
      </c>
      <c r="F12" s="1775">
        <f t="shared" si="1"/>
        <v>27581</v>
      </c>
    </row>
    <row r="13" spans="1:6" ht="13.7" customHeight="1" x14ac:dyDescent="0.2">
      <c r="A13" s="716" t="s">
        <v>993</v>
      </c>
      <c r="B13" s="1772">
        <f>SUM('Revenues 9-14'!C6:D6)</f>
        <v>27303</v>
      </c>
      <c r="C13" s="585">
        <v>110</v>
      </c>
      <c r="D13" s="1775">
        <f t="shared" si="0"/>
        <v>27193</v>
      </c>
      <c r="E13" s="585">
        <v>28957</v>
      </c>
      <c r="F13" s="1775">
        <f t="shared" si="1"/>
        <v>28847</v>
      </c>
    </row>
    <row r="14" spans="1:6" ht="13.7" customHeight="1" x14ac:dyDescent="0.2">
      <c r="A14" s="716" t="s">
        <v>430</v>
      </c>
      <c r="B14" s="1772">
        <f>SUM('Revenues 9-14'!C7:D7,'Revenues 9-14'!F7:H7)</f>
        <v>21829</v>
      </c>
      <c r="C14" s="585">
        <v>88</v>
      </c>
      <c r="D14" s="1775">
        <f t="shared" si="0"/>
        <v>21741</v>
      </c>
      <c r="E14" s="585">
        <v>23152</v>
      </c>
      <c r="F14" s="1775">
        <f t="shared" si="1"/>
        <v>23064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114354</v>
      </c>
      <c r="C16" s="585">
        <v>417</v>
      </c>
      <c r="D16" s="1775">
        <f t="shared" si="0"/>
        <v>113937</v>
      </c>
      <c r="E16" s="585">
        <v>109924</v>
      </c>
      <c r="F16" s="1775">
        <f t="shared" si="1"/>
        <v>109507</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2775724</v>
      </c>
      <c r="C19" s="1773">
        <f>SUM(C4:C18)</f>
        <v>11187</v>
      </c>
      <c r="D19" s="1773">
        <f>SUM(D4:D18)</f>
        <v>2764537</v>
      </c>
      <c r="E19" s="1773">
        <f>SUM(E4:E18)</f>
        <v>2947793</v>
      </c>
      <c r="F19" s="1773">
        <f>SUM(F4:F18)</f>
        <v>2936606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T25" sqref="T25:AA2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650</v>
      </c>
      <c r="B1" s="2228"/>
      <c r="C1" s="722"/>
    </row>
    <row r="2" spans="1:7" ht="33.75" x14ac:dyDescent="0.2">
      <c r="A2" s="2235" t="s">
        <v>1905</v>
      </c>
      <c r="B2" s="2236"/>
      <c r="C2" s="1909" t="s">
        <v>2038</v>
      </c>
      <c r="D2" s="724" t="s">
        <v>2045</v>
      </c>
      <c r="E2" s="724" t="s">
        <v>2046</v>
      </c>
      <c r="F2" s="1909" t="s">
        <v>2039</v>
      </c>
    </row>
    <row r="3" spans="1:7" ht="15.75" customHeight="1" x14ac:dyDescent="0.2">
      <c r="A3" s="2237" t="s">
        <v>1176</v>
      </c>
      <c r="B3" s="2238"/>
      <c r="C3" s="2231"/>
      <c r="D3" s="2232"/>
      <c r="E3" s="2232"/>
      <c r="F3" s="2233"/>
    </row>
    <row r="4" spans="1:7" ht="12.75" customHeight="1" thickBot="1" x14ac:dyDescent="0.25">
      <c r="A4" s="2225" t="s">
        <v>651</v>
      </c>
      <c r="B4" s="2226"/>
      <c r="C4" s="581"/>
      <c r="D4" s="581"/>
      <c r="E4" s="581"/>
      <c r="F4" s="1777">
        <f>SUM(C4+D4)-E4</f>
        <v>0</v>
      </c>
    </row>
    <row r="5" spans="1:7" ht="15.75" customHeight="1" thickTop="1" x14ac:dyDescent="0.2">
      <c r="A5" s="2229" t="s">
        <v>1172</v>
      </c>
      <c r="B5" s="2224"/>
      <c r="C5" s="2218"/>
      <c r="D5" s="2219"/>
      <c r="E5" s="2219"/>
      <c r="F5" s="222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1" t="s">
        <v>652</v>
      </c>
      <c r="B15" s="2222"/>
      <c r="C15" s="1777">
        <f>SUM(C6:C14)</f>
        <v>0</v>
      </c>
      <c r="D15" s="1777">
        <f>SUM(D6:D14)</f>
        <v>0</v>
      </c>
      <c r="E15" s="1777">
        <f>SUM(E6:E14)</f>
        <v>0</v>
      </c>
      <c r="F15" s="1777">
        <f>SUM(F6:F14)</f>
        <v>0</v>
      </c>
      <c r="G15" s="552"/>
    </row>
    <row r="16" spans="1:7" s="202" customFormat="1" ht="15.75" customHeight="1" thickTop="1" x14ac:dyDescent="0.2">
      <c r="A16" s="2234" t="s">
        <v>1173</v>
      </c>
      <c r="B16" s="2224"/>
      <c r="C16" s="2218"/>
      <c r="D16" s="2219"/>
      <c r="E16" s="2219"/>
      <c r="F16" s="2220"/>
    </row>
    <row r="17" spans="1:11" ht="12.75" customHeight="1" thickBot="1" x14ac:dyDescent="0.25">
      <c r="A17" s="2216" t="s">
        <v>66</v>
      </c>
      <c r="B17" s="2217"/>
      <c r="C17" s="727"/>
      <c r="D17" s="585"/>
      <c r="E17" s="727"/>
      <c r="F17" s="1777">
        <f>SUM(C17+D17)-E17</f>
        <v>0</v>
      </c>
    </row>
    <row r="18" spans="1:11" ht="12.75" customHeight="1" thickTop="1" thickBot="1" x14ac:dyDescent="0.25">
      <c r="A18" s="2216" t="s">
        <v>6</v>
      </c>
      <c r="B18" s="2217"/>
      <c r="C18" s="727"/>
      <c r="D18" s="585"/>
      <c r="E18" s="727"/>
      <c r="F18" s="1777">
        <f>SUM(C18+D18)-E18</f>
        <v>0</v>
      </c>
    </row>
    <row r="19" spans="1:11" ht="12.75" customHeight="1" thickTop="1" thickBot="1" x14ac:dyDescent="0.25">
      <c r="A19" s="2216" t="s">
        <v>406</v>
      </c>
      <c r="B19" s="2217"/>
      <c r="C19" s="727"/>
      <c r="D19" s="585"/>
      <c r="E19" s="727"/>
      <c r="F19" s="1777">
        <f>SUM(C19+D19)-E19</f>
        <v>0</v>
      </c>
    </row>
    <row r="20" spans="1:11" ht="12.75" customHeight="1" thickTop="1" thickBot="1" x14ac:dyDescent="0.25">
      <c r="A20" s="2216" t="s">
        <v>468</v>
      </c>
      <c r="B20" s="2217"/>
      <c r="C20" s="727"/>
      <c r="D20" s="585"/>
      <c r="E20" s="727"/>
      <c r="F20" s="1777">
        <f>SUM(C20+D20)-E20</f>
        <v>0</v>
      </c>
    </row>
    <row r="21" spans="1:11" ht="14.25" thickTop="1" thickBot="1" x14ac:dyDescent="0.25">
      <c r="A21" s="2221" t="s">
        <v>653</v>
      </c>
      <c r="B21" s="2222"/>
      <c r="C21" s="1777">
        <f>SUM(C17:C20)</f>
        <v>0</v>
      </c>
      <c r="D21" s="1777">
        <f>SUM(D17:D20)</f>
        <v>0</v>
      </c>
      <c r="E21" s="1777">
        <f>SUM(E17:E20)</f>
        <v>0</v>
      </c>
      <c r="F21" s="1777">
        <f>SUM(F17:F20)</f>
        <v>0</v>
      </c>
      <c r="G21" s="552"/>
    </row>
    <row r="22" spans="1:11" ht="15.75" customHeight="1" thickTop="1" x14ac:dyDescent="0.2">
      <c r="A22" s="2223" t="s">
        <v>1174</v>
      </c>
      <c r="B22" s="2224"/>
      <c r="C22" s="2218"/>
      <c r="D22" s="2219"/>
      <c r="E22" s="2219"/>
      <c r="F22" s="2220"/>
    </row>
    <row r="23" spans="1:11" ht="13.5" thickBot="1" x14ac:dyDescent="0.25">
      <c r="A23" s="2225" t="s">
        <v>654</v>
      </c>
      <c r="B23" s="2226"/>
      <c r="C23" s="581"/>
      <c r="D23" s="581"/>
      <c r="E23" s="581"/>
      <c r="F23" s="1777">
        <f>SUM(C23+D23)-E23</f>
        <v>0</v>
      </c>
      <c r="G23" s="552"/>
    </row>
    <row r="24" spans="1:11" ht="15.75" customHeight="1" thickTop="1" x14ac:dyDescent="0.2">
      <c r="A24" s="2223" t="s">
        <v>1175</v>
      </c>
      <c r="B24" s="2224"/>
      <c r="C24" s="2218"/>
      <c r="D24" s="2219"/>
      <c r="E24" s="2219"/>
      <c r="F24" s="2220"/>
    </row>
    <row r="25" spans="1:11" ht="13.5" thickBot="1" x14ac:dyDescent="0.25">
      <c r="A25" s="2225" t="s">
        <v>655</v>
      </c>
      <c r="B25" s="2226"/>
      <c r="C25" s="581"/>
      <c r="D25" s="581"/>
      <c r="E25" s="581"/>
      <c r="F25" s="1777">
        <f>SUM(C25+D25)-E25</f>
        <v>0</v>
      </c>
      <c r="G25" s="552"/>
    </row>
    <row r="26" spans="1:11" ht="15.75" customHeight="1" thickTop="1" x14ac:dyDescent="0.2">
      <c r="A26" s="2229" t="s">
        <v>678</v>
      </c>
      <c r="B26" s="2224"/>
      <c r="C26" s="728"/>
      <c r="D26" s="728"/>
      <c r="E26" s="728"/>
      <c r="F26" s="729"/>
    </row>
    <row r="27" spans="1:11" ht="13.5" thickBot="1" x14ac:dyDescent="0.25">
      <c r="A27" s="2221" t="s">
        <v>1130</v>
      </c>
      <c r="B27" s="2222"/>
      <c r="C27" s="585"/>
      <c r="D27" s="585"/>
      <c r="E27" s="585"/>
      <c r="F27" s="1777">
        <f>SUM(C27+D27)-E27</f>
        <v>0</v>
      </c>
      <c r="G27" s="552"/>
    </row>
    <row r="28" spans="1:11" ht="7.5" customHeight="1" thickTop="1" x14ac:dyDescent="0.2">
      <c r="A28" s="594"/>
    </row>
    <row r="29" spans="1:11" ht="23.25" customHeight="1" x14ac:dyDescent="0.2">
      <c r="A29" s="2227" t="s">
        <v>603</v>
      </c>
      <c r="B29" s="222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2097</v>
      </c>
      <c r="B31" s="734">
        <v>36678</v>
      </c>
      <c r="C31" s="735">
        <v>6472988</v>
      </c>
      <c r="D31" s="736">
        <v>6</v>
      </c>
      <c r="E31" s="735">
        <v>570551</v>
      </c>
      <c r="F31" s="735"/>
      <c r="G31" s="735"/>
      <c r="H31" s="735">
        <v>193583</v>
      </c>
      <c r="I31" s="1778">
        <f>((E31+F31)-H31)+G31</f>
        <v>376968</v>
      </c>
      <c r="J31" s="735">
        <v>313761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2098</v>
      </c>
      <c r="B33" s="734">
        <v>42272</v>
      </c>
      <c r="C33" s="735">
        <v>112140</v>
      </c>
      <c r="D33" s="736">
        <v>7</v>
      </c>
      <c r="E33" s="735">
        <v>74760</v>
      </c>
      <c r="F33" s="735"/>
      <c r="G33" s="735"/>
      <c r="H33" s="735">
        <v>22428</v>
      </c>
      <c r="I33" s="1778">
        <f t="shared" ref="I33:I48" si="1">((E33+F33)-H33)+G33</f>
        <v>52332</v>
      </c>
      <c r="J33" s="735">
        <v>52332</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2125</v>
      </c>
      <c r="B35" s="734">
        <v>42845</v>
      </c>
      <c r="C35" s="739">
        <v>43600</v>
      </c>
      <c r="D35" s="736">
        <v>7</v>
      </c>
      <c r="E35" s="739"/>
      <c r="F35" s="739">
        <v>43600</v>
      </c>
      <c r="G35" s="739"/>
      <c r="H35" s="739">
        <v>14923</v>
      </c>
      <c r="I35" s="1778">
        <f t="shared" si="1"/>
        <v>28677</v>
      </c>
      <c r="J35" s="739">
        <v>28677</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t="s">
        <v>2124</v>
      </c>
      <c r="B37" s="734">
        <v>43077</v>
      </c>
      <c r="C37" s="467">
        <v>9653</v>
      </c>
      <c r="D37" s="741">
        <v>7</v>
      </c>
      <c r="E37" s="467"/>
      <c r="F37" s="467">
        <v>9653</v>
      </c>
      <c r="G37" s="467"/>
      <c r="H37" s="467">
        <v>965</v>
      </c>
      <c r="I37" s="1778">
        <f t="shared" si="1"/>
        <v>8688</v>
      </c>
      <c r="J37" s="467">
        <v>8688</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6638381</v>
      </c>
      <c r="D49" s="746"/>
      <c r="E49" s="1778">
        <f t="shared" ref="E49:J49" si="2">SUM(E31:E48)</f>
        <v>645311</v>
      </c>
      <c r="F49" s="1778">
        <f t="shared" si="2"/>
        <v>53253</v>
      </c>
      <c r="G49" s="1778">
        <f t="shared" si="2"/>
        <v>0</v>
      </c>
      <c r="H49" s="1778">
        <f t="shared" si="2"/>
        <v>231899</v>
      </c>
      <c r="I49" s="1778">
        <f t="shared" si="2"/>
        <v>466665</v>
      </c>
      <c r="J49" s="1778">
        <f t="shared" si="2"/>
        <v>403458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0" t="s">
        <v>605</v>
      </c>
      <c r="C52" s="2211"/>
      <c r="D52" s="2211"/>
      <c r="E52" s="750" t="s">
        <v>900</v>
      </c>
      <c r="F52" s="2212" t="s">
        <v>2099</v>
      </c>
      <c r="G52" s="2213"/>
      <c r="H52" s="737"/>
      <c r="I52" s="737"/>
      <c r="J52" s="747"/>
    </row>
    <row r="53" spans="1:11" ht="11.25" customHeight="1" x14ac:dyDescent="0.2">
      <c r="A53" s="751" t="s">
        <v>969</v>
      </c>
      <c r="B53" s="752" t="s">
        <v>1008</v>
      </c>
      <c r="C53" s="747"/>
      <c r="D53" s="738"/>
      <c r="E53" s="750" t="s">
        <v>518</v>
      </c>
      <c r="F53" s="2214"/>
      <c r="G53" s="2215"/>
      <c r="H53" s="737"/>
      <c r="I53" s="737"/>
      <c r="J53" s="747"/>
    </row>
    <row r="54" spans="1:11" ht="11.25" customHeight="1" x14ac:dyDescent="0.2">
      <c r="A54" s="753" t="s">
        <v>970</v>
      </c>
      <c r="B54" s="748" t="s">
        <v>1009</v>
      </c>
      <c r="C54" s="747"/>
      <c r="D54" s="738"/>
      <c r="E54" s="750" t="s">
        <v>519</v>
      </c>
      <c r="F54" s="2214"/>
      <c r="G54" s="221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T25" sqref="T25:AA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911</v>
      </c>
      <c r="B1" s="2240"/>
      <c r="C1" s="2240"/>
      <c r="D1" s="2240"/>
      <c r="E1" s="2240"/>
      <c r="F1" s="2240"/>
      <c r="G1" s="2241"/>
      <c r="H1" s="1552"/>
      <c r="I1" s="761"/>
      <c r="J1" s="433"/>
    </row>
    <row r="2" spans="1:11" ht="26.25" x14ac:dyDescent="0.2">
      <c r="A2" s="2258" t="s">
        <v>1776</v>
      </c>
      <c r="B2" s="2259"/>
      <c r="C2" s="2259"/>
      <c r="D2" s="2259"/>
      <c r="E2" s="2260"/>
      <c r="F2" s="762" t="s">
        <v>960</v>
      </c>
      <c r="G2" s="763" t="s">
        <v>1773</v>
      </c>
      <c r="H2" s="763" t="s">
        <v>430</v>
      </c>
      <c r="I2" s="763" t="s">
        <v>1220</v>
      </c>
      <c r="J2" s="763" t="s">
        <v>1919</v>
      </c>
      <c r="K2" s="763" t="s">
        <v>140</v>
      </c>
    </row>
    <row r="3" spans="1:11" x14ac:dyDescent="0.2">
      <c r="A3" s="2261" t="s">
        <v>1698</v>
      </c>
      <c r="B3" s="2262"/>
      <c r="C3" s="2262"/>
      <c r="D3" s="2262"/>
      <c r="E3" s="2263"/>
      <c r="F3" s="764"/>
      <c r="G3" s="765"/>
      <c r="H3" s="765"/>
      <c r="I3" s="765"/>
      <c r="J3" s="766">
        <v>3506</v>
      </c>
      <c r="K3" s="766"/>
    </row>
    <row r="4" spans="1:11" x14ac:dyDescent="0.2">
      <c r="A4" s="2264" t="s">
        <v>387</v>
      </c>
      <c r="B4" s="2265"/>
      <c r="C4" s="2265"/>
      <c r="D4" s="2265"/>
      <c r="E4" s="2211"/>
      <c r="F4" s="767"/>
      <c r="G4" s="768"/>
      <c r="H4" s="769"/>
      <c r="I4" s="768"/>
      <c r="J4" s="770"/>
      <c r="K4" s="770"/>
    </row>
    <row r="5" spans="1:11" x14ac:dyDescent="0.2">
      <c r="A5" s="2242" t="s">
        <v>1129</v>
      </c>
      <c r="B5" s="2243"/>
      <c r="C5" s="2243"/>
      <c r="D5" s="2243"/>
      <c r="E5" s="2244"/>
      <c r="F5" s="771" t="s">
        <v>903</v>
      </c>
      <c r="G5" s="772"/>
      <c r="H5" s="765">
        <v>21829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8075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7966</v>
      </c>
    </row>
    <row r="10" spans="1:11" x14ac:dyDescent="0.2">
      <c r="A10" s="2242" t="s">
        <v>1920</v>
      </c>
      <c r="B10" s="2243"/>
      <c r="C10" s="2243"/>
      <c r="D10" s="2243"/>
      <c r="E10" s="2245"/>
      <c r="F10" s="784" t="s">
        <v>917</v>
      </c>
      <c r="G10" s="783"/>
      <c r="H10" s="785"/>
      <c r="I10" s="765"/>
      <c r="J10" s="766"/>
      <c r="K10" s="766"/>
    </row>
    <row r="11" spans="1:11" x14ac:dyDescent="0.2">
      <c r="A11" s="2242" t="s">
        <v>162</v>
      </c>
      <c r="B11" s="2243"/>
      <c r="C11" s="2243"/>
      <c r="D11" s="2243"/>
      <c r="E11" s="2244"/>
      <c r="F11" s="771" t="s">
        <v>907</v>
      </c>
      <c r="G11" s="772"/>
      <c r="H11" s="765"/>
      <c r="I11" s="765"/>
      <c r="J11" s="766"/>
      <c r="K11" s="774"/>
    </row>
    <row r="12" spans="1:11" ht="13.5" thickBot="1" x14ac:dyDescent="0.25">
      <c r="A12" s="2269" t="s">
        <v>961</v>
      </c>
      <c r="B12" s="2270"/>
      <c r="C12" s="2270"/>
      <c r="D12" s="2270"/>
      <c r="E12" s="2271"/>
      <c r="F12" s="1779"/>
      <c r="G12" s="1780">
        <f>SUM(G5:G11)</f>
        <v>0</v>
      </c>
      <c r="H12" s="1780">
        <f>SUM(H5:H11)</f>
        <v>21829</v>
      </c>
      <c r="I12" s="1780">
        <f>SUM(I5:I11)</f>
        <v>0</v>
      </c>
      <c r="J12" s="1780">
        <f>SUM(J5:J11)</f>
        <v>0</v>
      </c>
      <c r="K12" s="1780">
        <f>SUM(K5:K11)</f>
        <v>16041</v>
      </c>
    </row>
    <row r="13" spans="1:11" ht="13.5" thickTop="1" x14ac:dyDescent="0.2">
      <c r="A13" s="2266" t="s">
        <v>388</v>
      </c>
      <c r="B13" s="2267"/>
      <c r="C13" s="2267"/>
      <c r="D13" s="2267"/>
      <c r="E13" s="2268"/>
      <c r="F13" s="786"/>
      <c r="G13" s="787"/>
      <c r="H13" s="788"/>
      <c r="I13" s="789"/>
      <c r="J13" s="789"/>
      <c r="K13" s="789"/>
    </row>
    <row r="14" spans="1:11" x14ac:dyDescent="0.2">
      <c r="A14" s="2249" t="s">
        <v>476</v>
      </c>
      <c r="B14" s="2249"/>
      <c r="C14" s="2249"/>
      <c r="D14" s="2249"/>
      <c r="E14" s="2250"/>
      <c r="F14" s="790" t="s">
        <v>909</v>
      </c>
      <c r="G14" s="783"/>
      <c r="H14" s="765">
        <v>21829</v>
      </c>
      <c r="I14" s="772"/>
      <c r="J14" s="774"/>
      <c r="K14" s="766">
        <v>16041</v>
      </c>
    </row>
    <row r="15" spans="1:11" x14ac:dyDescent="0.2">
      <c r="A15" s="2243" t="s">
        <v>4</v>
      </c>
      <c r="B15" s="2243"/>
      <c r="C15" s="2243"/>
      <c r="D15" s="2243"/>
      <c r="E15" s="2244"/>
      <c r="F15" s="790" t="s">
        <v>910</v>
      </c>
      <c r="G15" s="772"/>
      <c r="H15" s="765"/>
      <c r="I15" s="765"/>
      <c r="J15" s="766"/>
      <c r="K15" s="766"/>
    </row>
    <row r="16" spans="1:11" x14ac:dyDescent="0.2">
      <c r="A16" s="2243" t="s">
        <v>316</v>
      </c>
      <c r="B16" s="2243"/>
      <c r="C16" s="2243"/>
      <c r="D16" s="2243"/>
      <c r="E16" s="2244"/>
      <c r="F16" s="790" t="s">
        <v>980</v>
      </c>
      <c r="G16" s="773"/>
      <c r="H16" s="768"/>
      <c r="I16" s="768"/>
      <c r="J16" s="770"/>
      <c r="K16" s="770"/>
    </row>
    <row r="17" spans="1:11" x14ac:dyDescent="0.2">
      <c r="A17" s="2274" t="s">
        <v>992</v>
      </c>
      <c r="B17" s="2274"/>
      <c r="C17" s="2274"/>
      <c r="D17" s="2274"/>
      <c r="E17" s="2275"/>
      <c r="F17" s="791"/>
      <c r="G17" s="792"/>
      <c r="H17" s="793"/>
      <c r="I17" s="793"/>
      <c r="J17" s="794"/>
      <c r="K17" s="795"/>
    </row>
    <row r="18" spans="1:11" x14ac:dyDescent="0.2">
      <c r="A18" s="2253" t="s">
        <v>386</v>
      </c>
      <c r="B18" s="2254"/>
      <c r="C18" s="2254"/>
      <c r="D18" s="2254"/>
      <c r="E18" s="2255"/>
      <c r="F18" s="790" t="s">
        <v>989</v>
      </c>
      <c r="G18" s="783"/>
      <c r="H18" s="783"/>
      <c r="I18" s="783"/>
      <c r="J18" s="766"/>
      <c r="K18" s="796"/>
    </row>
    <row r="19" spans="1:11" ht="21.75" customHeight="1" x14ac:dyDescent="0.2">
      <c r="A19" s="2251" t="s">
        <v>1916</v>
      </c>
      <c r="B19" s="2251"/>
      <c r="C19" s="2251"/>
      <c r="D19" s="2251"/>
      <c r="E19" s="2252"/>
      <c r="F19" s="790" t="s">
        <v>990</v>
      </c>
      <c r="G19" s="783"/>
      <c r="H19" s="783"/>
      <c r="I19" s="783"/>
      <c r="J19" s="766"/>
      <c r="K19" s="796"/>
    </row>
    <row r="20" spans="1:11" x14ac:dyDescent="0.2">
      <c r="A20" s="2253" t="s">
        <v>1921</v>
      </c>
      <c r="B20" s="2254"/>
      <c r="C20" s="2254"/>
      <c r="D20" s="2254"/>
      <c r="E20" s="2255"/>
      <c r="F20" s="790" t="s">
        <v>991</v>
      </c>
      <c r="G20" s="783"/>
      <c r="H20" s="783"/>
      <c r="I20" s="783"/>
      <c r="J20" s="766"/>
      <c r="K20" s="796"/>
    </row>
    <row r="21" spans="1:11" ht="13.5" thickBot="1" x14ac:dyDescent="0.25">
      <c r="A21" s="2272" t="s">
        <v>659</v>
      </c>
      <c r="B21" s="2272"/>
      <c r="C21" s="2272"/>
      <c r="D21" s="2272"/>
      <c r="E21" s="2272"/>
      <c r="F21" s="1781"/>
      <c r="G21" s="793"/>
      <c r="H21" s="797"/>
      <c r="I21" s="797"/>
      <c r="J21" s="1782">
        <f>SUM(J18:J20)</f>
        <v>0</v>
      </c>
      <c r="K21" s="794"/>
    </row>
    <row r="22" spans="1:11" ht="13.5" thickTop="1" x14ac:dyDescent="0.2">
      <c r="A22" s="2243" t="s">
        <v>1922</v>
      </c>
      <c r="B22" s="2243"/>
      <c r="C22" s="2243"/>
      <c r="D22" s="2243"/>
      <c r="E22" s="2244"/>
      <c r="F22" s="790" t="s">
        <v>917</v>
      </c>
      <c r="G22" s="783"/>
      <c r="H22" s="765"/>
      <c r="I22" s="765"/>
      <c r="J22" s="798"/>
      <c r="K22" s="766"/>
    </row>
    <row r="23" spans="1:11" ht="13.5" thickBot="1" x14ac:dyDescent="0.25">
      <c r="A23" s="2273" t="s">
        <v>962</v>
      </c>
      <c r="B23" s="2272"/>
      <c r="C23" s="2272"/>
      <c r="D23" s="2272"/>
      <c r="E23" s="2272"/>
      <c r="F23" s="1783"/>
      <c r="G23" s="1780">
        <f>SUM(G14:G16,G21,G22)</f>
        <v>0</v>
      </c>
      <c r="H23" s="1780">
        <f>SUM(H14:H16,H21,H22)</f>
        <v>21829</v>
      </c>
      <c r="I23" s="1780">
        <f>SUM(I14:I16,I21,I22)</f>
        <v>0</v>
      </c>
      <c r="J23" s="1780">
        <f>SUM(J14:J16,J21,J22)</f>
        <v>0</v>
      </c>
      <c r="K23" s="1780">
        <f>SUM(K14:K16,K21,K22)</f>
        <v>16041</v>
      </c>
    </row>
    <row r="24" spans="1:11" ht="14.25" thickTop="1" thickBot="1" x14ac:dyDescent="0.25">
      <c r="A24" s="2273" t="s">
        <v>2026</v>
      </c>
      <c r="B24" s="2272"/>
      <c r="C24" s="2272"/>
      <c r="D24" s="2272"/>
      <c r="E24" s="2272"/>
      <c r="F24" s="1784"/>
      <c r="G24" s="1785">
        <f>SUM(G3,G12)-G23</f>
        <v>0</v>
      </c>
      <c r="H24" s="1785">
        <f>SUM(H3,H12)-H23</f>
        <v>0</v>
      </c>
      <c r="I24" s="1785">
        <f>SUM(I3,I12)-I23</f>
        <v>0</v>
      </c>
      <c r="J24" s="1785">
        <f>SUM(J3,J12)-J23</f>
        <v>3506</v>
      </c>
      <c r="K24" s="1785">
        <f>SUM(K3,K12)-K23</f>
        <v>0</v>
      </c>
    </row>
    <row r="25" spans="1:11" ht="13.5" thickTop="1" x14ac:dyDescent="0.2">
      <c r="A25" s="799" t="s">
        <v>440</v>
      </c>
      <c r="B25" s="800"/>
      <c r="C25" s="800"/>
      <c r="D25" s="800"/>
      <c r="E25" s="801"/>
      <c r="F25" s="802">
        <v>714</v>
      </c>
      <c r="G25" s="803"/>
      <c r="H25" s="803"/>
      <c r="I25" s="803"/>
      <c r="J25" s="798">
        <v>3506</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6"/>
      <c r="I31" s="2247"/>
      <c r="J31" s="2247"/>
      <c r="K31" s="2247"/>
    </row>
    <row r="32" spans="1:11" x14ac:dyDescent="0.2">
      <c r="A32" s="810"/>
      <c r="B32" s="237"/>
      <c r="C32" s="237"/>
      <c r="D32" s="237"/>
      <c r="E32" s="806"/>
      <c r="F32" s="812" t="s">
        <v>561</v>
      </c>
      <c r="G32" s="765"/>
      <c r="H32" s="2248"/>
      <c r="I32" s="2247"/>
      <c r="J32" s="2247"/>
      <c r="K32" s="2247"/>
    </row>
    <row r="33" spans="1:11" ht="1.5" customHeight="1" x14ac:dyDescent="0.2">
      <c r="A33" s="813" t="s">
        <v>1231</v>
      </c>
      <c r="B33" s="364"/>
      <c r="C33" s="364"/>
      <c r="D33" s="364"/>
      <c r="E33" s="364"/>
      <c r="F33" s="364"/>
      <c r="G33" s="814"/>
      <c r="H33" s="2248"/>
      <c r="I33" s="2247"/>
      <c r="J33" s="2247"/>
      <c r="K33" s="224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3" t="s">
        <v>562</v>
      </c>
      <c r="B41" s="2256"/>
      <c r="C41" s="2256"/>
      <c r="D41" s="2256"/>
      <c r="E41" s="2256"/>
      <c r="F41" s="225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T25" sqref="T25:AA2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2035</v>
      </c>
      <c r="B1" s="2279"/>
      <c r="C1" s="2280"/>
      <c r="D1" s="827"/>
      <c r="E1" s="828"/>
      <c r="F1" s="828"/>
      <c r="G1" s="829"/>
      <c r="H1" s="830"/>
      <c r="I1" s="831"/>
      <c r="J1" s="2276"/>
      <c r="K1" s="2277"/>
      <c r="L1" s="227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17968</v>
      </c>
      <c r="D5" s="842"/>
      <c r="E5" s="842"/>
      <c r="F5" s="1782">
        <f>(C5+D5)-E5</f>
        <v>17968</v>
      </c>
      <c r="G5" s="838"/>
      <c r="H5" s="843"/>
      <c r="I5" s="843"/>
      <c r="J5" s="843"/>
      <c r="K5" s="794"/>
      <c r="L5" s="1791">
        <f>F5-K5</f>
        <v>17968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11143290</v>
      </c>
      <c r="D8" s="845">
        <v>4645</v>
      </c>
      <c r="E8" s="845"/>
      <c r="F8" s="1782">
        <f>(C8+D8)-E8</f>
        <v>11147935</v>
      </c>
      <c r="G8" s="844">
        <v>50</v>
      </c>
      <c r="H8" s="766">
        <v>4437620</v>
      </c>
      <c r="I8" s="766">
        <v>205155</v>
      </c>
      <c r="J8" s="766"/>
      <c r="K8" s="1791">
        <f>(H8+I8)-J8</f>
        <v>4642775</v>
      </c>
      <c r="L8" s="1791">
        <f>F8-K8</f>
        <v>6505160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310414</v>
      </c>
      <c r="D10" s="847"/>
      <c r="E10" s="847"/>
      <c r="F10" s="1786">
        <f>(C10+D10)-E10</f>
        <v>310414</v>
      </c>
      <c r="G10" s="844">
        <v>20</v>
      </c>
      <c r="H10" s="848">
        <v>202571</v>
      </c>
      <c r="I10" s="848">
        <v>15067</v>
      </c>
      <c r="J10" s="848"/>
      <c r="K10" s="1791">
        <f>(H10+I10)-J10</f>
        <v>217638</v>
      </c>
      <c r="L10" s="1791">
        <f>F10-K10</f>
        <v>92776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837157</v>
      </c>
      <c r="D12" s="845">
        <v>151476</v>
      </c>
      <c r="E12" s="845">
        <v>87512</v>
      </c>
      <c r="F12" s="1782">
        <f>(C12+D12)-E12</f>
        <v>901121</v>
      </c>
      <c r="G12" s="844">
        <v>10</v>
      </c>
      <c r="H12" s="766">
        <f>419642+2992</f>
        <v>422634</v>
      </c>
      <c r="I12" s="766">
        <f>419+79171</f>
        <v>79590</v>
      </c>
      <c r="J12" s="766">
        <v>87512</v>
      </c>
      <c r="K12" s="1791">
        <f>(H12+I12)-J12</f>
        <v>414712</v>
      </c>
      <c r="L12" s="1791">
        <f>F12-K12</f>
        <v>486409</v>
      </c>
    </row>
    <row r="13" spans="1:14" ht="14.25" thickTop="1" thickBot="1" x14ac:dyDescent="0.25">
      <c r="A13" s="849" t="s">
        <v>1184</v>
      </c>
      <c r="B13" s="841">
        <v>252</v>
      </c>
      <c r="C13" s="845">
        <v>100546</v>
      </c>
      <c r="D13" s="845">
        <v>29377</v>
      </c>
      <c r="E13" s="845"/>
      <c r="F13" s="1782">
        <f>(C13+D13)-E13</f>
        <v>129923</v>
      </c>
      <c r="G13" s="844">
        <v>5</v>
      </c>
      <c r="H13" s="766">
        <v>68867</v>
      </c>
      <c r="I13" s="766">
        <v>14874</v>
      </c>
      <c r="J13" s="766"/>
      <c r="K13" s="1791">
        <f>(H13+I13)-J13</f>
        <v>83741</v>
      </c>
      <c r="L13" s="1791">
        <f>F13-K13</f>
        <v>46182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12409375</v>
      </c>
      <c r="D16" s="1782">
        <f>SUM(D3,D5:D6,D8:D10,D12:D15)</f>
        <v>185498</v>
      </c>
      <c r="E16" s="1782">
        <f>SUM(E3,E5:E6,E8:E10,E12:E15)</f>
        <v>87512</v>
      </c>
      <c r="F16" s="1782">
        <f>SUM(F3,F5:F6,F8:F10,F12:F15)</f>
        <v>12507361</v>
      </c>
      <c r="G16" s="844"/>
      <c r="H16" s="1782">
        <f>SUM(H3,H6,H8:H10,H12:H14,)</f>
        <v>5131692</v>
      </c>
      <c r="I16" s="1782">
        <f>SUM(I3,I6,I8:I10,I12:I14,)</f>
        <v>314686</v>
      </c>
      <c r="J16" s="1782">
        <f>SUM(J3,J6,J8:J10,J12:J14,)</f>
        <v>87512</v>
      </c>
      <c r="K16" s="1782">
        <f>(H16+I16)-J16</f>
        <v>5358866</v>
      </c>
      <c r="L16" s="1782">
        <f>F16-K16</f>
        <v>7148495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314686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T25" sqref="T25:AA25"/>
      <selection pane="bottomLeft" activeCell="T25" sqref="T25:AA2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1699</v>
      </c>
      <c r="B1" s="2285"/>
      <c r="C1" s="2285"/>
      <c r="D1" s="2285"/>
      <c r="E1" s="2285"/>
      <c r="F1" s="2286"/>
      <c r="G1" s="856"/>
    </row>
    <row r="2" spans="1:7" ht="15" customHeight="1" thickBot="1" x14ac:dyDescent="0.25">
      <c r="A2" s="2287" t="s">
        <v>498</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0"/>
      <c r="B5" s="2291"/>
      <c r="C5" s="2291"/>
      <c r="D5" s="2291"/>
      <c r="E5" s="2291"/>
      <c r="F5" s="2291"/>
    </row>
    <row r="6" spans="1:7" ht="13.5" customHeight="1" thickBot="1" x14ac:dyDescent="0.25">
      <c r="A6" s="2281" t="s">
        <v>1166</v>
      </c>
      <c r="B6" s="2282"/>
      <c r="C6" s="2282"/>
      <c r="D6" s="2282"/>
      <c r="E6" s="2282"/>
      <c r="F6" s="228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4296677</v>
      </c>
      <c r="G8" s="866"/>
    </row>
    <row r="9" spans="1:7" x14ac:dyDescent="0.2">
      <c r="A9" s="870" t="s">
        <v>480</v>
      </c>
      <c r="B9" s="871" t="s">
        <v>1989</v>
      </c>
      <c r="C9" s="872"/>
      <c r="D9" s="870" t="s">
        <v>522</v>
      </c>
      <c r="E9" s="869"/>
      <c r="F9" s="1935">
        <f>'Expenditures 15-22'!K151</f>
        <v>407115</v>
      </c>
      <c r="G9" s="873"/>
    </row>
    <row r="10" spans="1:7" x14ac:dyDescent="0.2">
      <c r="A10" s="870" t="s">
        <v>520</v>
      </c>
      <c r="B10" s="871" t="s">
        <v>1990</v>
      </c>
      <c r="C10" s="872"/>
      <c r="D10" s="870" t="s">
        <v>522</v>
      </c>
      <c r="E10" s="869"/>
      <c r="F10" s="1935">
        <f>'Expenditures 15-22'!K174</f>
        <v>634091</v>
      </c>
      <c r="G10" s="873"/>
    </row>
    <row r="11" spans="1:7" x14ac:dyDescent="0.2">
      <c r="A11" s="870" t="s">
        <v>481</v>
      </c>
      <c r="B11" s="871" t="s">
        <v>1991</v>
      </c>
      <c r="C11" s="872"/>
      <c r="D11" s="870" t="s">
        <v>522</v>
      </c>
      <c r="E11" s="869"/>
      <c r="F11" s="1935">
        <f>'Expenditures 15-22'!K210</f>
        <v>276641</v>
      </c>
      <c r="G11" s="873"/>
    </row>
    <row r="12" spans="1:7" x14ac:dyDescent="0.2">
      <c r="A12" s="870" t="s">
        <v>482</v>
      </c>
      <c r="B12" s="871" t="s">
        <v>1992</v>
      </c>
      <c r="C12" s="872"/>
      <c r="D12" s="870" t="s">
        <v>522</v>
      </c>
      <c r="E12" s="869"/>
      <c r="F12" s="1935">
        <f>'Expenditures 15-22'!K295</f>
        <v>171559</v>
      </c>
      <c r="G12" s="873"/>
    </row>
    <row r="13" spans="1:7" x14ac:dyDescent="0.2">
      <c r="A13" s="870" t="s">
        <v>108</v>
      </c>
      <c r="B13" s="871" t="s">
        <v>1993</v>
      </c>
      <c r="C13" s="872"/>
      <c r="D13" s="870" t="s">
        <v>522</v>
      </c>
      <c r="E13" s="869"/>
      <c r="F13" s="1935">
        <f>'Expenditures 15-22'!K342</f>
        <v>111043</v>
      </c>
      <c r="G13" s="874"/>
    </row>
    <row r="14" spans="1:7" ht="12" customHeight="1" thickBot="1" x14ac:dyDescent="0.25">
      <c r="A14" s="1792"/>
      <c r="B14" s="1793"/>
      <c r="C14" s="1794"/>
      <c r="D14" s="1795" t="s">
        <v>522</v>
      </c>
      <c r="E14" s="1796" t="s">
        <v>1015</v>
      </c>
      <c r="F14" s="1797">
        <f>SUM(F8:F13)</f>
        <v>5897126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40001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26876</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2250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56115</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2000</v>
      </c>
      <c r="G51" s="866"/>
    </row>
    <row r="52" spans="1:7" x14ac:dyDescent="0.2">
      <c r="A52" s="870" t="s">
        <v>479</v>
      </c>
      <c r="B52" s="870" t="s">
        <v>1550</v>
      </c>
      <c r="C52" s="890" t="str">
        <f>'Expenditures 15-22'!B75</f>
        <v>3000</v>
      </c>
      <c r="D52" s="889" t="s">
        <v>469</v>
      </c>
      <c r="E52" s="869"/>
      <c r="F52" s="1939">
        <f>'Expenditures 15-22'!K75-SUM('Expenditures 15-22'!G75,'Expenditures 15-22'!I75)</f>
        <v>115236</v>
      </c>
      <c r="G52" s="866"/>
    </row>
    <row r="53" spans="1:7" x14ac:dyDescent="0.2">
      <c r="A53" s="870" t="s">
        <v>479</v>
      </c>
      <c r="B53" s="870" t="s">
        <v>1551</v>
      </c>
      <c r="C53" s="890">
        <f>'Expenditures 15-22'!B102</f>
        <v>4000</v>
      </c>
      <c r="D53" s="889" t="str">
        <f>'Expenditures 15-22'!A102</f>
        <v>Total Payments to Other Govt Units</v>
      </c>
      <c r="E53" s="869"/>
      <c r="F53" s="1939">
        <f>'Expenditures 15-22'!K102</f>
        <v>245652</v>
      </c>
      <c r="G53" s="866"/>
    </row>
    <row r="54" spans="1:7" x14ac:dyDescent="0.2">
      <c r="A54" s="870" t="s">
        <v>479</v>
      </c>
      <c r="B54" s="870" t="s">
        <v>1552</v>
      </c>
      <c r="C54" s="890" t="s">
        <v>1039</v>
      </c>
      <c r="D54" s="886" t="s">
        <v>1157</v>
      </c>
      <c r="E54" s="869"/>
      <c r="F54" s="1939">
        <f>'Expenditures 15-22'!G114</f>
        <v>93591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62530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231899</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22645</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2633</v>
      </c>
      <c r="G67" s="866"/>
    </row>
    <row r="68" spans="1:8" x14ac:dyDescent="0.2">
      <c r="A68" s="870" t="s">
        <v>482</v>
      </c>
      <c r="B68" s="870" t="s">
        <v>1555</v>
      </c>
      <c r="C68" s="887" t="str">
        <f>'Expenditures 15-22'!B218</f>
        <v>1225</v>
      </c>
      <c r="D68" s="893" t="str">
        <f>'Expenditures 15-22'!A218</f>
        <v>Special Education Programs - Pre-K</v>
      </c>
      <c r="E68" s="869"/>
      <c r="F68" s="1939">
        <f>'Expenditures 15-22'!K218</f>
        <v>257</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29</v>
      </c>
      <c r="G71" s="866"/>
    </row>
    <row r="72" spans="1:8" x14ac:dyDescent="0.2">
      <c r="A72" s="870" t="s">
        <v>482</v>
      </c>
      <c r="B72" s="870" t="s">
        <v>2008</v>
      </c>
      <c r="C72" s="887">
        <f>'Expenditures 15-22'!B280</f>
        <v>3000</v>
      </c>
      <c r="D72" s="877" t="s">
        <v>469</v>
      </c>
      <c r="E72" s="869"/>
      <c r="F72" s="1939">
        <f>'Expenditures 15-22'!K280</f>
        <v>19005</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920719</v>
      </c>
      <c r="G76" s="866"/>
    </row>
    <row r="77" spans="1:8" s="894" customFormat="1" ht="12" customHeight="1" thickTop="1" thickBot="1" x14ac:dyDescent="0.25">
      <c r="A77" s="1801"/>
      <c r="B77" s="1798"/>
      <c r="C77" s="1794"/>
      <c r="D77" s="1799" t="s">
        <v>2012</v>
      </c>
      <c r="E77" s="1796"/>
      <c r="F77" s="1802">
        <f>(F14-F76)</f>
        <v>4976407</v>
      </c>
      <c r="G77" s="870"/>
    </row>
    <row r="78" spans="1:8" s="894" customFormat="1" ht="12" customHeight="1" thickTop="1" x14ac:dyDescent="0.2">
      <c r="A78" s="1803"/>
      <c r="B78" s="1798"/>
      <c r="C78" s="1794"/>
      <c r="D78" s="1799" t="s">
        <v>2059</v>
      </c>
      <c r="E78" s="1796"/>
      <c r="F78" s="899">
        <v>404.07</v>
      </c>
      <c r="G78" s="900"/>
      <c r="H78" s="870"/>
    </row>
    <row r="79" spans="1:8" s="894" customFormat="1" ht="12" customHeight="1" thickBot="1" x14ac:dyDescent="0.25">
      <c r="A79" s="1804"/>
      <c r="B79" s="1798"/>
      <c r="C79" s="1794"/>
      <c r="D79" s="1799" t="s">
        <v>2013</v>
      </c>
      <c r="E79" s="1796" t="s">
        <v>1015</v>
      </c>
      <c r="F79" s="1805">
        <f>IF(F78&gt;0,F77/F78," Complete Line 78")</f>
        <v>12315.705199594129</v>
      </c>
      <c r="G79" s="870"/>
    </row>
    <row r="80" spans="1:8" s="894" customFormat="1" ht="8.25" customHeight="1" thickTop="1" x14ac:dyDescent="0.2">
      <c r="A80" s="901"/>
      <c r="B80" s="870"/>
      <c r="C80" s="872"/>
      <c r="D80" s="902"/>
      <c r="E80" s="869"/>
      <c r="F80" s="903"/>
      <c r="G80" s="870"/>
    </row>
    <row r="81" spans="1:7" s="894" customFormat="1" ht="12" thickBot="1" x14ac:dyDescent="0.25">
      <c r="A81" s="2281" t="s">
        <v>1167</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3249</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127601</v>
      </c>
      <c r="G94" s="913"/>
    </row>
    <row r="95" spans="1:7" x14ac:dyDescent="0.2">
      <c r="A95" s="909" t="s">
        <v>142</v>
      </c>
      <c r="B95" s="909" t="s">
        <v>177</v>
      </c>
      <c r="C95" s="911">
        <v>1700</v>
      </c>
      <c r="D95" s="919" t="str">
        <f>'Revenues 9-14'!A82</f>
        <v>Total District/School Activity Income</v>
      </c>
      <c r="E95" s="907"/>
      <c r="F95" s="1811">
        <f>SUM('Revenues 9-14'!C82,'Revenues 9-14'!D82)</f>
        <v>50122</v>
      </c>
      <c r="G95" s="913"/>
    </row>
    <row r="96" spans="1:7" x14ac:dyDescent="0.2">
      <c r="A96" s="909" t="s">
        <v>479</v>
      </c>
      <c r="B96" s="909" t="s">
        <v>178</v>
      </c>
      <c r="C96" s="911">
        <f>'Revenues 9-14'!B84</f>
        <v>1811</v>
      </c>
      <c r="D96" s="912" t="str">
        <f>'Revenues 9-14'!A84</f>
        <v>Rentals - Regular Textbooks</v>
      </c>
      <c r="E96" s="907"/>
      <c r="F96" s="1811">
        <f>'Revenues 9-14'!C84</f>
        <v>17216</v>
      </c>
      <c r="G96" s="913"/>
    </row>
    <row r="97" spans="1:7" x14ac:dyDescent="0.2">
      <c r="A97" s="909" t="s">
        <v>479</v>
      </c>
      <c r="B97" s="909" t="s">
        <v>179</v>
      </c>
      <c r="C97" s="911">
        <f>'Revenues 9-14'!B87</f>
        <v>1819</v>
      </c>
      <c r="D97" s="912" t="str">
        <f>'Revenues 9-14'!A87</f>
        <v>Rentals - Other (Describe &amp; Itemize)</v>
      </c>
      <c r="E97" s="907"/>
      <c r="F97" s="1811">
        <f>'Revenues 9-14'!C87</f>
        <v>100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94367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8684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978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7966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162998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39669</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83096</v>
      </c>
      <c r="G129" s="931"/>
    </row>
    <row r="130" spans="1:7" x14ac:dyDescent="0.2">
      <c r="A130" s="928" t="s">
        <v>689</v>
      </c>
      <c r="B130" s="928" t="s">
        <v>804</v>
      </c>
      <c r="C130" s="933">
        <v>4300</v>
      </c>
      <c r="D130" s="934" t="str">
        <f>'Revenues 9-14'!A211</f>
        <v>Total Title I</v>
      </c>
      <c r="E130" s="907"/>
      <c r="F130" s="1811">
        <f>SUM('Revenues 9-14'!C211,'Revenues 9-14'!D211,'Revenues 9-14'!F211,'Revenues 9-14'!G211)</f>
        <v>67590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118742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49122</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4268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26970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864238</v>
      </c>
    </row>
    <row r="179" spans="1:7" ht="12" customHeight="1" x14ac:dyDescent="0.2">
      <c r="A179" s="1792"/>
      <c r="B179" s="1806"/>
      <c r="C179" s="1807"/>
      <c r="D179" s="1808" t="s">
        <v>2015</v>
      </c>
      <c r="E179" s="1809"/>
      <c r="F179" s="1811">
        <f>'PCTC-OEPP 27-28'!F77-F178</f>
        <v>4112169</v>
      </c>
    </row>
    <row r="180" spans="1:7" ht="12" customHeight="1" x14ac:dyDescent="0.2">
      <c r="A180" s="1792"/>
      <c r="B180" s="1806"/>
      <c r="C180" s="1807"/>
      <c r="D180" s="1808" t="s">
        <v>1924</v>
      </c>
      <c r="E180" s="1809"/>
      <c r="F180" s="1811">
        <f>'Cap Outlay Deprec 26'!I18</f>
        <v>314686</v>
      </c>
    </row>
    <row r="181" spans="1:7" ht="12" customHeight="1" x14ac:dyDescent="0.2">
      <c r="A181" s="1792"/>
      <c r="B181" s="1806"/>
      <c r="C181" s="1807"/>
      <c r="D181" s="1808" t="s">
        <v>2016</v>
      </c>
      <c r="E181" s="1809"/>
      <c r="F181" s="1811">
        <f>F179+F180</f>
        <v>4426855</v>
      </c>
    </row>
    <row r="182" spans="1:7" ht="12" customHeight="1" x14ac:dyDescent="0.2">
      <c r="A182" s="1792"/>
      <c r="B182" s="1812"/>
      <c r="C182" s="1807"/>
      <c r="D182" s="1808" t="str">
        <f>D78</f>
        <v>9 Month ADA from District Average Daily Attendance/Prior General State Aid Inquiry 2017-2018</v>
      </c>
      <c r="E182" s="1809"/>
      <c r="F182" s="1813">
        <f>'PCTC-OEPP 27-28'!F78</f>
        <v>404.07</v>
      </c>
      <c r="G182" s="931"/>
    </row>
    <row r="183" spans="1:7" ht="12" customHeight="1" thickBot="1" x14ac:dyDescent="0.25">
      <c r="A183" s="1792"/>
      <c r="B183" s="1812"/>
      <c r="C183" s="1807"/>
      <c r="D183" s="1808" t="s">
        <v>2017</v>
      </c>
      <c r="E183" s="1809" t="s">
        <v>1626</v>
      </c>
      <c r="F183" s="1814">
        <f>F181/F182</f>
        <v>10955.663622639642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25" sqref="T25:AA25"/>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5" t="s">
        <v>1925</v>
      </c>
      <c r="B4" s="2296"/>
      <c r="C4" s="2296"/>
      <c r="D4" s="2296"/>
      <c r="E4" s="2296"/>
      <c r="F4" s="2296"/>
      <c r="G4" s="2297"/>
    </row>
    <row r="5" spans="1:7" x14ac:dyDescent="0.25">
      <c r="A5" s="2298"/>
      <c r="B5" s="2299"/>
      <c r="C5" s="2299"/>
      <c r="D5" s="2299"/>
      <c r="E5" s="2299"/>
      <c r="F5" s="2299"/>
      <c r="G5" s="2300"/>
    </row>
    <row r="6" spans="1:7" ht="18.75" x14ac:dyDescent="0.25">
      <c r="A6" s="1556" t="s">
        <v>1926</v>
      </c>
      <c r="B6" s="1557"/>
      <c r="C6" s="1557"/>
      <c r="D6" s="1557"/>
      <c r="E6" s="1557"/>
      <c r="F6" s="1557"/>
      <c r="G6" s="1558"/>
    </row>
    <row r="7" spans="1:7" ht="30.75" customHeight="1" x14ac:dyDescent="0.25">
      <c r="A7" s="2301" t="s">
        <v>2075</v>
      </c>
      <c r="B7" s="2302"/>
      <c r="C7" s="2302"/>
      <c r="D7" s="2302"/>
      <c r="E7" s="2302"/>
      <c r="F7" s="2302"/>
      <c r="G7" s="2303"/>
    </row>
    <row r="8" spans="1:7" ht="15.75" customHeight="1" x14ac:dyDescent="0.25">
      <c r="A8" s="2304" t="s">
        <v>2024</v>
      </c>
      <c r="B8" s="2305"/>
      <c r="C8" s="2305"/>
      <c r="D8" s="2305"/>
      <c r="E8" s="2305"/>
      <c r="F8" s="2305"/>
      <c r="G8" s="2306"/>
    </row>
    <row r="9" spans="1:7" ht="35.25" customHeight="1" x14ac:dyDescent="0.25">
      <c r="A9" s="2301" t="s">
        <v>2023</v>
      </c>
      <c r="B9" s="2302"/>
      <c r="C9" s="2302"/>
      <c r="D9" s="2302"/>
      <c r="E9" s="2302"/>
      <c r="F9" s="2302"/>
      <c r="G9" s="2303"/>
    </row>
    <row r="10" spans="1:7" ht="15" customHeight="1" x14ac:dyDescent="0.25">
      <c r="A10" s="1559" t="s">
        <v>1927</v>
      </c>
      <c r="B10" s="1560"/>
      <c r="C10" s="1560"/>
      <c r="D10" s="1560"/>
      <c r="E10" s="1560"/>
      <c r="F10" s="1560"/>
      <c r="G10" s="1561"/>
    </row>
    <row r="11" spans="1:7" ht="17.25" customHeight="1" x14ac:dyDescent="0.25">
      <c r="A11" s="2301" t="s">
        <v>1941</v>
      </c>
      <c r="B11" s="2302"/>
      <c r="C11" s="2302"/>
      <c r="D11" s="2302"/>
      <c r="E11" s="2302"/>
      <c r="F11" s="2302"/>
      <c r="G11" s="2303"/>
    </row>
    <row r="12" spans="1:7" ht="15" customHeight="1" x14ac:dyDescent="0.25">
      <c r="A12" s="1559" t="s">
        <v>1932</v>
      </c>
      <c r="B12" s="1560"/>
      <c r="C12" s="1560"/>
      <c r="D12" s="1560"/>
      <c r="E12" s="1560"/>
      <c r="F12" s="1560"/>
      <c r="G12" s="1561"/>
    </row>
    <row r="13" spans="1:7" ht="32.25" customHeight="1" x14ac:dyDescent="0.25">
      <c r="A13" s="2292" t="s">
        <v>1933</v>
      </c>
      <c r="B13" s="2293"/>
      <c r="C13" s="2293"/>
      <c r="D13" s="2293"/>
      <c r="E13" s="2293"/>
      <c r="F13" s="2293"/>
      <c r="G13" s="229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2104</v>
      </c>
      <c r="B17" s="1964" t="s">
        <v>2126</v>
      </c>
      <c r="C17" s="1958" t="s">
        <v>2105</v>
      </c>
      <c r="D17" s="1867">
        <v>61248</v>
      </c>
      <c r="E17" s="1562">
        <f t="shared" ref="E17:E141" si="1">IF(D17&lt;=25000,D17,IF(D17&gt;25000,25000,0))</f>
        <v>25000</v>
      </c>
      <c r="F17" s="1815">
        <f t="shared" si="0"/>
        <v>25000</v>
      </c>
      <c r="G17" s="1816">
        <f>IF(F17=0,0,D17-F17)</f>
        <v>36248</v>
      </c>
      <c r="H17" s="1669"/>
    </row>
    <row r="18" spans="1:8" x14ac:dyDescent="0.25">
      <c r="A18" s="1956" t="s">
        <v>2106</v>
      </c>
      <c r="B18" s="1957" t="s">
        <v>2107</v>
      </c>
      <c r="C18" s="1958" t="s">
        <v>2108</v>
      </c>
      <c r="D18" s="1867">
        <v>85652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60652</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146900</v>
      </c>
      <c r="E141" s="1563">
        <f t="shared" si="1"/>
        <v>25000</v>
      </c>
      <c r="F141" s="1817">
        <f>SUM(F17:F140)</f>
        <v>50000</v>
      </c>
      <c r="G141" s="1818">
        <f>SUM(G17:G140)</f>
        <v>96900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T25" sqref="T25:AA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7" t="s">
        <v>1778</v>
      </c>
      <c r="B5" s="2308"/>
      <c r="C5" s="2308"/>
      <c r="D5" s="2308"/>
      <c r="E5" s="2308"/>
      <c r="F5" s="2308"/>
      <c r="G5" s="230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83096</v>
      </c>
      <c r="F10" s="975"/>
      <c r="G10" s="976"/>
      <c r="H10" s="162"/>
      <c r="I10" s="162"/>
    </row>
    <row r="11" spans="1:9" s="669" customFormat="1" ht="22.5" customHeight="1" x14ac:dyDescent="0.2">
      <c r="A11" s="2312" t="s">
        <v>1945</v>
      </c>
      <c r="B11" s="2313"/>
      <c r="C11" s="2313"/>
      <c r="D11" s="2314"/>
      <c r="E11" s="978">
        <v>18618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2920210</v>
      </c>
      <c r="F19" s="1822"/>
      <c r="G19" s="1824">
        <f>'Expenditures 15-22'!K33-SUM('Expenditures 15-22'!G33,'Expenditures 15-22'!I33)+'Expenditures 15-22'!D229</f>
        <v>2920210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210930</v>
      </c>
      <c r="F21" s="1825"/>
      <c r="G21" s="1828">
        <f>'Expenditures 15-22'!K42-SUM('Expenditures 15-22'!G42,'Expenditures 15-22'!I42)+'Expenditures 15-22'!K120-SUM('Expenditures 15-22'!G120,'Expenditures 15-22'!I120)+'Expenditures 15-22'!K180-SUM('Expenditures 15-22'!G180,'Expenditures 15-22'!I180)+'Expenditures 15-22'!D238</f>
        <v>210930</v>
      </c>
      <c r="H21" s="988"/>
      <c r="I21" s="162"/>
    </row>
    <row r="22" spans="1:9" s="669" customFormat="1" ht="12" customHeight="1" x14ac:dyDescent="0.2">
      <c r="A22" s="995" t="s">
        <v>585</v>
      </c>
      <c r="B22" s="996"/>
      <c r="C22" s="994">
        <v>2200</v>
      </c>
      <c r="D22" s="1825"/>
      <c r="E22" s="1827">
        <f>'Expenditures 15-22'!K47-SUM('Expenditures 15-22'!G47,'Expenditures 15-22'!I47)+'Expenditures 15-22'!D243</f>
        <v>52953</v>
      </c>
      <c r="F22" s="1825"/>
      <c r="G22" s="1828">
        <f>'Expenditures 15-22'!K47-SUM('Expenditures 15-22'!G47,'Expenditures 15-22'!I47)+'Expenditures 15-22'!D243</f>
        <v>52953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324934</v>
      </c>
      <c r="F23" s="1825"/>
      <c r="G23" s="1827">
        <f>'Expenditures 15-22'!K53-SUM('Expenditures 15-22'!G53,'Expenditures 15-22'!I53)+'Expenditures 15-22'!D257+'Expenditures 15-22'!K330-SUM('Expenditures 15-22'!G330,'Expenditures 15-22'!I330)</f>
        <v>324934</v>
      </c>
      <c r="H23" s="988"/>
      <c r="I23" s="162"/>
    </row>
    <row r="24" spans="1:9" s="669" customFormat="1" ht="12" customHeight="1" x14ac:dyDescent="0.2">
      <c r="A24" s="995" t="s">
        <v>587</v>
      </c>
      <c r="B24" s="996"/>
      <c r="C24" s="994">
        <v>2400</v>
      </c>
      <c r="D24" s="1825"/>
      <c r="E24" s="1827">
        <f>'Expenditures 15-22'!K57-SUM('Expenditures 15-22'!G57,'Expenditures 15-22'!I57)+'Expenditures 15-22'!D261</f>
        <v>326868</v>
      </c>
      <c r="F24" s="1825"/>
      <c r="G24" s="1828">
        <f>'Expenditures 15-22'!K57-SUM('Expenditures 15-22'!G57,'Expenditures 15-22'!I57)+'Expenditures 15-22'!D261</f>
        <v>326868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67227</v>
      </c>
      <c r="E27" s="1827">
        <f>E8</f>
        <v>0</v>
      </c>
      <c r="F27" s="1827">
        <f>'Expenditures 15-22'!K60-SUM('Expenditures 15-22'!G60,'Expenditures 15-22'!I60)+'Expenditures 15-22'!D264-E8</f>
        <v>67227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367465</v>
      </c>
      <c r="F28" s="1829">
        <f>'Expenditures 15-22'!K61-SUM('Expenditures 15-22'!G61,'Expenditures 15-22'!I61)+'Expenditures 15-22'!K124-SUM('Expenditures 15-22'!G124,'Expenditures 15-22'!I124)+'Expenditures 15-22'!D266-E9</f>
        <v>367465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272909</v>
      </c>
      <c r="F29" s="1825"/>
      <c r="G29" s="1828">
        <f>'Expenditures 15-22'!K62-SUM('Expenditures 15-22'!G62,'Expenditures 15-22'!I62)+'Expenditures 15-22'!K125-SUM('Expenditures 15-22'!G125,'Expenditures 15-22'!I125)+'Expenditures 15-22'!K182-SUM('Expenditures 15-22'!G182,'Expenditures 15-22'!I182)+'Expenditures 15-22'!D267</f>
        <v>272909</v>
      </c>
      <c r="H29" s="986"/>
    </row>
    <row r="30" spans="1:9" ht="12" customHeight="1" x14ac:dyDescent="0.2">
      <c r="A30" s="995" t="s">
        <v>102</v>
      </c>
      <c r="B30" s="998"/>
      <c r="C30" s="994">
        <v>2560</v>
      </c>
      <c r="D30" s="1825"/>
      <c r="E30" s="1827">
        <f>'Expenditures 15-22'!K63-SUM('Expenditures 15-22'!G63,'Expenditures 15-22'!I63)+'Expenditures 15-22'!D268-E10</f>
        <v>77684</v>
      </c>
      <c r="F30" s="1825"/>
      <c r="G30" s="1827">
        <f>'Expenditures 15-22'!K63-SUM('Expenditures 15-22'!G63,'Expenditures 15-22'!I63)+'Expenditures 15-22'!D268-E10</f>
        <v>77684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100</v>
      </c>
      <c r="F38" s="1825"/>
      <c r="G38" s="1827">
        <f>'Expenditures 15-22'!K73-SUM('Expenditures 15-22'!G73,'Expenditures 15-22'!I73)+'Expenditures 15-22'!K128-SUM('Expenditures 15-22'!G128,'Expenditures 15-22'!I128)+'Expenditures 15-22'!K183-SUM('Expenditures 15-22'!G183,'Expenditures 15-22'!I183)+'Expenditures 15-22'!D278</f>
        <v>100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134241</v>
      </c>
      <c r="F39" s="1825"/>
      <c r="G39" s="1827">
        <f>'Expenditures 15-22'!K75-SUM('Expenditures 15-22'!G75,'Expenditures 15-22'!I75)+'Expenditures 15-22'!K130-SUM('Expenditures 15-22'!G130,'Expenditures 15-22'!I130)+'Expenditures 15-22'!K185-SUM('Expenditures 15-22'!G185,'Expenditures 15-22'!I185)+'Expenditures 15-22'!D280</f>
        <v>134241</v>
      </c>
    </row>
    <row r="40" spans="1:7" ht="12" customHeight="1" x14ac:dyDescent="0.2">
      <c r="A40" s="991" t="s">
        <v>1930</v>
      </c>
      <c r="B40" s="992"/>
      <c r="C40" s="994"/>
      <c r="D40" s="1825"/>
      <c r="E40" s="1829">
        <f>-'Contracts Paid in CY 29'!G141</f>
        <v>-96900</v>
      </c>
      <c r="F40" s="1825"/>
      <c r="G40" s="1829">
        <f>-'Contracts Paid in CY 29'!G141</f>
        <v>-96900</v>
      </c>
    </row>
    <row r="41" spans="1:7" ht="12" customHeight="1" x14ac:dyDescent="0.2">
      <c r="A41" s="999" t="s">
        <v>158</v>
      </c>
      <c r="B41" s="1000"/>
      <c r="C41" s="1001"/>
      <c r="D41" s="1829">
        <f>SUM(D19:D39)</f>
        <v>67227</v>
      </c>
      <c r="E41" s="1829">
        <f>SUM(E19:E40)</f>
        <v>4591394</v>
      </c>
      <c r="F41" s="1829">
        <f>SUM(F19:F39)</f>
        <v>434692</v>
      </c>
      <c r="G41" s="1829">
        <f>SUM(G19:G40)</f>
        <v>4223929</v>
      </c>
    </row>
    <row r="42" spans="1:7" x14ac:dyDescent="0.2">
      <c r="A42" s="988"/>
      <c r="B42" s="162"/>
      <c r="C42" s="1002"/>
      <c r="D42" s="2310" t="s">
        <v>543</v>
      </c>
      <c r="E42" s="2311"/>
      <c r="F42" s="1003" t="s">
        <v>544</v>
      </c>
      <c r="G42" s="1004"/>
    </row>
    <row r="43" spans="1:7" ht="12" customHeight="1" x14ac:dyDescent="0.2">
      <c r="A43" s="988"/>
      <c r="B43" s="162"/>
      <c r="C43" s="1002"/>
      <c r="D43" s="1830" t="s">
        <v>493</v>
      </c>
      <c r="E43" s="1831">
        <f>D41</f>
        <v>67227</v>
      </c>
      <c r="F43" s="1830" t="s">
        <v>495</v>
      </c>
      <c r="G43" s="1831">
        <f>F41</f>
        <v>434692</v>
      </c>
    </row>
    <row r="44" spans="1:7" ht="12" customHeight="1" x14ac:dyDescent="0.2">
      <c r="A44" s="988"/>
      <c r="B44" s="162"/>
      <c r="C44" s="1002"/>
      <c r="D44" s="1830" t="s">
        <v>494</v>
      </c>
      <c r="E44" s="1831">
        <f>E41</f>
        <v>4591394</v>
      </c>
      <c r="F44" s="1830" t="s">
        <v>494</v>
      </c>
      <c r="G44" s="1831">
        <f>G41</f>
        <v>4223929</v>
      </c>
    </row>
    <row r="45" spans="1:7" ht="12" customHeight="1" x14ac:dyDescent="0.2">
      <c r="A45" s="988"/>
      <c r="B45" s="162"/>
      <c r="C45" s="162"/>
      <c r="D45" s="1832" t="s">
        <v>1063</v>
      </c>
      <c r="E45" s="1833">
        <f>(E43/E44)</f>
        <v>1.4641958411759044E-2</v>
      </c>
      <c r="F45" s="1832" t="s">
        <v>1063</v>
      </c>
      <c r="G45" s="1833">
        <f>(G43/G44)</f>
        <v>0.10291176769306491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T25" sqref="T25:AA2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9" t="s">
        <v>1446</v>
      </c>
      <c r="B1" s="2329"/>
      <c r="C1" s="2329"/>
      <c r="D1" s="2329"/>
      <c r="E1" s="2329"/>
      <c r="F1" s="232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0" t="s">
        <v>1627</v>
      </c>
      <c r="B5" s="2331"/>
      <c r="C5" s="2332"/>
      <c r="D5" s="2332"/>
      <c r="E5" s="2332"/>
      <c r="F5" s="2332"/>
    </row>
    <row r="6" spans="1:10" ht="12" customHeight="1" x14ac:dyDescent="0.25">
      <c r="A6" s="1875"/>
      <c r="B6" s="1876"/>
      <c r="C6" s="2333" t="str">
        <f>COVER!A17</f>
        <v>Pearl City CUSD 200</v>
      </c>
      <c r="D6" s="2333"/>
      <c r="E6" s="2333"/>
      <c r="F6" s="1877"/>
    </row>
    <row r="7" spans="1:10" ht="11.25" customHeight="1" thickBot="1" x14ac:dyDescent="0.3">
      <c r="A7" s="1875"/>
      <c r="B7" s="1876"/>
      <c r="C7" s="2334">
        <f>COVER!A13</f>
        <v>8089200026</v>
      </c>
      <c r="D7" s="2334"/>
      <c r="E7" s="233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2127</v>
      </c>
      <c r="D15" s="1890" t="s">
        <v>2127</v>
      </c>
      <c r="E15" s="1893" t="s">
        <v>2127</v>
      </c>
      <c r="F15" s="1892" t="s">
        <v>2100</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t="s">
        <v>2127</v>
      </c>
      <c r="D27" s="1890" t="s">
        <v>2127</v>
      </c>
      <c r="E27" s="1893" t="s">
        <v>2127</v>
      </c>
      <c r="F27" s="1892" t="s">
        <v>2101</v>
      </c>
      <c r="H27" s="1903">
        <f t="shared" si="0"/>
        <v>5</v>
      </c>
      <c r="I27" s="1903">
        <f t="shared" si="1"/>
        <v>5</v>
      </c>
      <c r="J27" s="1903">
        <f t="shared" si="2"/>
        <v>5</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2127</v>
      </c>
      <c r="D29" s="1890" t="s">
        <v>2127</v>
      </c>
      <c r="E29" s="1893" t="s">
        <v>2127</v>
      </c>
      <c r="F29" s="1892" t="s">
        <v>2102</v>
      </c>
      <c r="H29" s="1903">
        <f t="shared" si="0"/>
        <v>5</v>
      </c>
      <c r="I29" s="1903">
        <f t="shared" si="1"/>
        <v>5</v>
      </c>
      <c r="J29" s="1903">
        <f t="shared" si="2"/>
        <v>5</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2127</v>
      </c>
      <c r="D31" s="1890" t="s">
        <v>2127</v>
      </c>
      <c r="E31" s="1893" t="s">
        <v>2127</v>
      </c>
      <c r="F31" s="1892" t="s">
        <v>2103</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20</v>
      </c>
      <c r="K34" s="1903">
        <f>SUM(H34:J34)</f>
        <v>60</v>
      </c>
    </row>
    <row r="35" spans="1:11" ht="12" customHeight="1" x14ac:dyDescent="0.2">
      <c r="A35" s="1896" t="s">
        <v>1459</v>
      </c>
      <c r="B35" s="1897"/>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98"/>
      <c r="B39" s="1898"/>
      <c r="C39" s="1898"/>
      <c r="D39" s="1898"/>
      <c r="E39" s="1898"/>
      <c r="F39" s="1898"/>
    </row>
    <row r="40" spans="1:11" s="1895" customFormat="1" ht="12" customHeight="1" x14ac:dyDescent="0.25">
      <c r="A40" s="1899" t="s">
        <v>1458</v>
      </c>
      <c r="B40" s="1900"/>
      <c r="C40" s="2324"/>
      <c r="D40" s="2324"/>
      <c r="E40" s="2324"/>
      <c r="F40" s="2325"/>
      <c r="H40" s="1904"/>
      <c r="I40" s="1904"/>
      <c r="J40" s="1904"/>
      <c r="K40" s="1904"/>
    </row>
    <row r="41" spans="1:11" s="1895" customFormat="1" ht="12" customHeight="1" x14ac:dyDescent="0.25">
      <c r="A41" s="2326"/>
      <c r="B41" s="2327"/>
      <c r="C41" s="2327"/>
      <c r="D41" s="2327"/>
      <c r="E41" s="2327"/>
      <c r="F41" s="2328"/>
      <c r="H41" s="1904"/>
      <c r="I41" s="1904"/>
      <c r="J41" s="1904"/>
      <c r="K41" s="1904"/>
    </row>
    <row r="42" spans="1:11" s="1895" customFormat="1" ht="12" customHeight="1" x14ac:dyDescent="0.25">
      <c r="A42" s="2326"/>
      <c r="B42" s="2327"/>
      <c r="C42" s="2327"/>
      <c r="D42" s="2327"/>
      <c r="E42" s="2327"/>
      <c r="F42" s="2328"/>
      <c r="H42" s="1904"/>
      <c r="I42" s="1904"/>
      <c r="J42" s="1904"/>
      <c r="K42" s="1904"/>
    </row>
    <row r="43" spans="1:11" s="1895" customFormat="1" ht="15" x14ac:dyDescent="0.25">
      <c r="A43" s="2315"/>
      <c r="B43" s="2316"/>
      <c r="C43" s="2316"/>
      <c r="D43" s="2316"/>
      <c r="E43" s="2316"/>
      <c r="F43" s="2317"/>
      <c r="H43" s="1904"/>
      <c r="I43" s="1904"/>
      <c r="J43" s="1904"/>
      <c r="K43" s="1904"/>
    </row>
    <row r="44" spans="1:11" s="1895" customFormat="1" ht="12" hidden="1" customHeight="1" x14ac:dyDescent="0.25">
      <c r="A44" s="2315"/>
      <c r="B44" s="2316"/>
      <c r="C44" s="2316"/>
      <c r="D44" s="2316"/>
      <c r="E44" s="2316"/>
      <c r="F44" s="231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5" sqref="T25:AA2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2" t="str">
        <f>COVER!A17</f>
        <v>Pearl City CUSD 200</v>
      </c>
      <c r="J6" s="2343"/>
      <c r="Q6" s="1686"/>
    </row>
    <row r="7" spans="1:17" x14ac:dyDescent="0.2">
      <c r="A7" s="2344" t="s">
        <v>924</v>
      </c>
      <c r="B7" s="2345"/>
      <c r="C7" s="2345"/>
      <c r="D7" s="2345"/>
      <c r="E7" s="2346"/>
      <c r="F7" s="1018"/>
      <c r="G7" s="1010"/>
      <c r="H7" s="1017" t="s">
        <v>390</v>
      </c>
      <c r="I7" s="2347">
        <f>COVER!A13</f>
        <v>8089200026</v>
      </c>
      <c r="J7" s="234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8" t="s">
        <v>502</v>
      </c>
      <c r="B11" s="2349"/>
      <c r="C11" s="235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198758</v>
      </c>
      <c r="F12" s="1040"/>
      <c r="G12" s="1834">
        <f t="shared" ref="G12:G18" si="0">SUM(E12:F12)</f>
        <v>198758</v>
      </c>
      <c r="H12" s="1041">
        <v>83250</v>
      </c>
      <c r="I12" s="1040"/>
      <c r="J12" s="1834">
        <f t="shared" ref="J12:J18" si="1">SUM(H12:I12)</f>
        <v>83250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1" t="s">
        <v>7</v>
      </c>
      <c r="C18" s="2352"/>
      <c r="D18" s="235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198758</v>
      </c>
      <c r="F19" s="1836">
        <f t="shared" si="2"/>
        <v>0</v>
      </c>
      <c r="G19" s="1836">
        <f t="shared" si="2"/>
        <v>198758</v>
      </c>
      <c r="H19" s="1836">
        <f t="shared" si="2"/>
        <v>83250</v>
      </c>
      <c r="I19" s="1836">
        <f t="shared" si="2"/>
        <v>0</v>
      </c>
      <c r="J19" s="1836">
        <f t="shared" si="2"/>
        <v>83250</v>
      </c>
    </row>
    <row r="20" spans="1:10" ht="13.5" thickTop="1" x14ac:dyDescent="0.2">
      <c r="A20" s="1036">
        <v>9</v>
      </c>
      <c r="B20" s="2354" t="s">
        <v>1703</v>
      </c>
      <c r="C20" s="2354"/>
      <c r="D20" s="2355"/>
      <c r="E20" s="1047"/>
      <c r="F20" s="1047"/>
      <c r="G20" s="1047"/>
      <c r="H20" s="1047"/>
      <c r="I20" s="1047"/>
      <c r="J20" s="1837">
        <f>IF(AND(G19&gt;0,J19&gt;0),(((J19-G19)/G19)),"Enter Budget Data")</f>
        <v>-0.58114893488563979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1093</v>
      </c>
      <c r="D27" s="1053"/>
      <c r="E27" s="1054"/>
      <c r="F27" s="2356" t="s">
        <v>1589</v>
      </c>
      <c r="G27" s="2356"/>
    </row>
    <row r="28" spans="1:10" ht="28.5" customHeight="1" x14ac:dyDescent="0.2">
      <c r="B28" s="1048"/>
      <c r="C28" s="2358"/>
      <c r="D28" s="2358"/>
      <c r="E28" s="1055"/>
      <c r="F28" s="2358"/>
      <c r="G28" s="2358"/>
    </row>
    <row r="29" spans="1:10" x14ac:dyDescent="0.2">
      <c r="B29" s="1048"/>
      <c r="C29" s="1056" t="s">
        <v>1642</v>
      </c>
      <c r="E29" s="1057"/>
      <c r="F29" s="2357" t="s">
        <v>1590</v>
      </c>
      <c r="G29" s="235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1944</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937</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2"/>
  <sheetViews>
    <sheetView showGridLines="0" topLeftCell="A13" zoomScale="110" zoomScaleNormal="110" workbookViewId="0">
      <selection activeCell="T25" sqref="T25:AA25"/>
    </sheetView>
  </sheetViews>
  <sheetFormatPr defaultRowHeight="12.75" x14ac:dyDescent="0.2"/>
  <cols>
    <col min="1" max="1" width="3" style="329" customWidth="1"/>
    <col min="2" max="5" width="12.7109375" style="329" customWidth="1"/>
    <col min="6" max="6" width="38" style="329" bestFit="1" customWidth="1"/>
    <col min="7" max="7" width="12.7109375" style="329" customWidth="1"/>
    <col min="8" max="8" width="13.7109375" style="329" customWidth="1"/>
    <col min="9" max="16384" width="9.140625" style="329"/>
  </cols>
  <sheetData>
    <row r="2" spans="1:7" x14ac:dyDescent="0.2">
      <c r="A2" s="389" t="s">
        <v>276</v>
      </c>
    </row>
    <row r="3" spans="1:7" x14ac:dyDescent="0.2">
      <c r="A3" s="329" t="s">
        <v>277</v>
      </c>
    </row>
    <row r="5" spans="1:7" x14ac:dyDescent="0.2">
      <c r="A5" s="1069"/>
      <c r="B5" s="1960" t="s">
        <v>2109</v>
      </c>
      <c r="C5" s="1960" t="s">
        <v>2110</v>
      </c>
      <c r="D5" s="1960" t="s">
        <v>2111</v>
      </c>
      <c r="E5" s="1960" t="s">
        <v>2112</v>
      </c>
      <c r="F5" s="1960" t="s">
        <v>502</v>
      </c>
      <c r="G5" s="1960" t="s">
        <v>920</v>
      </c>
    </row>
    <row r="6" spans="1:7" x14ac:dyDescent="0.2">
      <c r="A6" s="1069"/>
    </row>
    <row r="7" spans="1:7" ht="13.5" thickBot="1" x14ac:dyDescent="0.25">
      <c r="A7" s="1069"/>
      <c r="B7" s="1959">
        <v>10</v>
      </c>
      <c r="C7" s="1959">
        <v>72</v>
      </c>
      <c r="D7" s="1959">
        <v>10</v>
      </c>
      <c r="E7" s="1959">
        <v>1614</v>
      </c>
      <c r="F7" s="391" t="s">
        <v>2113</v>
      </c>
      <c r="G7" s="1961">
        <v>4165</v>
      </c>
    </row>
    <row r="8" spans="1:7" ht="13.5" thickTop="1" x14ac:dyDescent="0.2">
      <c r="A8" s="1069"/>
      <c r="B8" s="1959"/>
      <c r="C8" s="1959"/>
      <c r="D8" s="1959"/>
      <c r="E8" s="1959"/>
      <c r="F8" s="391"/>
    </row>
    <row r="9" spans="1:7" ht="13.5" thickBot="1" x14ac:dyDescent="0.25">
      <c r="A9" s="1070"/>
      <c r="B9" s="1959">
        <v>10</v>
      </c>
      <c r="C9" s="1959">
        <v>74</v>
      </c>
      <c r="D9" s="1959">
        <v>10</v>
      </c>
      <c r="E9" s="1959">
        <v>1690</v>
      </c>
      <c r="F9" s="391" t="s">
        <v>2114</v>
      </c>
      <c r="G9" s="1961">
        <v>540</v>
      </c>
    </row>
    <row r="10" spans="1:7" ht="13.5" thickTop="1" x14ac:dyDescent="0.2">
      <c r="A10" s="1070"/>
      <c r="B10" s="1959"/>
      <c r="C10" s="1959"/>
      <c r="D10" s="1959"/>
      <c r="E10" s="1959"/>
      <c r="F10" s="391"/>
    </row>
    <row r="11" spans="1:7" ht="13.5" thickBot="1" x14ac:dyDescent="0.25">
      <c r="A11" s="1070"/>
      <c r="B11" s="1959">
        <v>10</v>
      </c>
      <c r="C11" s="1959">
        <v>87</v>
      </c>
      <c r="D11" s="1959">
        <v>10</v>
      </c>
      <c r="E11" s="1959">
        <v>1819</v>
      </c>
      <c r="F11" s="391" t="s">
        <v>2115</v>
      </c>
      <c r="G11" s="1961">
        <v>100</v>
      </c>
    </row>
    <row r="12" spans="1:7" ht="13.5" thickTop="1" x14ac:dyDescent="0.2">
      <c r="A12" s="1070"/>
      <c r="B12" s="1959"/>
      <c r="C12" s="1959"/>
      <c r="D12" s="1959"/>
      <c r="E12" s="1959"/>
      <c r="F12" s="391"/>
    </row>
    <row r="13" spans="1:7" x14ac:dyDescent="0.2">
      <c r="A13" s="1070"/>
      <c r="B13" s="1959">
        <v>11</v>
      </c>
      <c r="C13" s="1959">
        <v>107</v>
      </c>
      <c r="D13" s="1959">
        <v>10</v>
      </c>
      <c r="E13" s="1959">
        <v>1999</v>
      </c>
      <c r="F13" s="391" t="s">
        <v>2116</v>
      </c>
      <c r="G13" s="1963">
        <f>16918+131958</f>
        <v>148876</v>
      </c>
    </row>
    <row r="14" spans="1:7" x14ac:dyDescent="0.2">
      <c r="A14" s="1070"/>
      <c r="B14" s="1959"/>
      <c r="C14" s="1959"/>
      <c r="D14" s="1959"/>
      <c r="E14" s="1959"/>
      <c r="F14" s="391" t="s">
        <v>2117</v>
      </c>
      <c r="G14" s="1963">
        <v>481</v>
      </c>
    </row>
    <row r="15" spans="1:7" x14ac:dyDescent="0.2">
      <c r="A15" s="1070"/>
      <c r="B15" s="1959"/>
      <c r="C15" s="1959"/>
      <c r="D15" s="1959"/>
      <c r="E15" s="1959"/>
      <c r="F15" s="391" t="s">
        <v>2129</v>
      </c>
      <c r="G15" s="1963">
        <v>5937</v>
      </c>
    </row>
    <row r="16" spans="1:7" x14ac:dyDescent="0.2">
      <c r="A16" s="1070"/>
      <c r="B16" s="1959"/>
      <c r="C16" s="1959"/>
      <c r="D16" s="1959"/>
      <c r="E16" s="1959"/>
      <c r="F16" s="391" t="s">
        <v>2128</v>
      </c>
      <c r="G16" s="1963">
        <v>257</v>
      </c>
    </row>
    <row r="17" spans="1:7" ht="13.5" thickBot="1" x14ac:dyDescent="0.25">
      <c r="A17" s="1070"/>
      <c r="B17" s="1959"/>
      <c r="C17" s="1959"/>
      <c r="D17" s="1959"/>
      <c r="E17" s="1959"/>
      <c r="F17" s="391"/>
      <c r="G17" s="1962">
        <f>SUM(G13:G16)</f>
        <v>155551</v>
      </c>
    </row>
    <row r="18" spans="1:7" ht="13.5" thickTop="1" x14ac:dyDescent="0.2">
      <c r="A18" s="1070"/>
      <c r="B18" s="1959"/>
      <c r="C18" s="1959"/>
      <c r="D18" s="1959"/>
      <c r="E18" s="1959"/>
      <c r="F18" s="391"/>
    </row>
    <row r="19" spans="1:7" x14ac:dyDescent="0.2">
      <c r="A19" s="1070"/>
      <c r="B19" s="1959">
        <v>11</v>
      </c>
      <c r="C19" s="1959">
        <v>107</v>
      </c>
      <c r="D19" s="1959">
        <v>20</v>
      </c>
      <c r="E19" s="1959">
        <v>1999</v>
      </c>
      <c r="F19" s="391" t="s">
        <v>2118</v>
      </c>
      <c r="G19" s="1963">
        <v>26801</v>
      </c>
    </row>
    <row r="20" spans="1:7" x14ac:dyDescent="0.2">
      <c r="A20" s="1070"/>
      <c r="B20" s="1959"/>
      <c r="C20" s="1959"/>
      <c r="D20" s="1959"/>
      <c r="E20" s="1959"/>
      <c r="F20" s="391" t="s">
        <v>2119</v>
      </c>
      <c r="G20" s="1963">
        <v>304</v>
      </c>
    </row>
    <row r="21" spans="1:7" ht="13.5" thickBot="1" x14ac:dyDescent="0.25">
      <c r="A21" s="1070"/>
      <c r="B21" s="1959"/>
      <c r="C21" s="1959"/>
      <c r="D21" s="1959"/>
      <c r="E21" s="1959"/>
      <c r="F21" s="391"/>
      <c r="G21" s="1962">
        <f>SUM(G19:G20)</f>
        <v>27105</v>
      </c>
    </row>
    <row r="22" spans="1:7" ht="13.5" thickTop="1" x14ac:dyDescent="0.2">
      <c r="A22" s="1070"/>
      <c r="B22" s="1959"/>
      <c r="C22" s="1959"/>
      <c r="D22" s="1959"/>
      <c r="E22" s="1959"/>
      <c r="F22" s="391"/>
    </row>
    <row r="23" spans="1:7" ht="13.5" thickBot="1" x14ac:dyDescent="0.25">
      <c r="A23" s="1070"/>
      <c r="B23" s="1959">
        <v>11</v>
      </c>
      <c r="C23" s="1959">
        <v>107</v>
      </c>
      <c r="D23" s="1959">
        <v>40</v>
      </c>
      <c r="E23" s="1959">
        <v>1999</v>
      </c>
      <c r="F23" s="391" t="s">
        <v>2120</v>
      </c>
      <c r="G23" s="1961">
        <v>1197</v>
      </c>
    </row>
    <row r="24" spans="1:7" ht="13.5" thickTop="1" x14ac:dyDescent="0.2">
      <c r="A24" s="1070"/>
      <c r="B24" s="1959"/>
      <c r="C24" s="1959"/>
      <c r="D24" s="1959"/>
      <c r="E24" s="1959"/>
      <c r="F24" s="391"/>
    </row>
    <row r="25" spans="1:7" ht="13.5" thickBot="1" x14ac:dyDescent="0.25">
      <c r="A25" s="1070"/>
      <c r="B25" s="1959">
        <v>12</v>
      </c>
      <c r="C25" s="1959">
        <v>171</v>
      </c>
      <c r="D25" s="1959">
        <v>10</v>
      </c>
      <c r="E25" s="1959">
        <v>3999</v>
      </c>
      <c r="F25" s="391" t="s">
        <v>2121</v>
      </c>
      <c r="G25" s="1961">
        <v>1500</v>
      </c>
    </row>
    <row r="26" spans="1:7" ht="13.5" thickTop="1" x14ac:dyDescent="0.2">
      <c r="A26" s="1070"/>
      <c r="B26" s="1959"/>
      <c r="C26" s="1959"/>
      <c r="D26" s="1959"/>
      <c r="E26" s="1959"/>
      <c r="F26" s="391"/>
    </row>
    <row r="27" spans="1:7" ht="13.5" thickBot="1" x14ac:dyDescent="0.25">
      <c r="A27" s="1070"/>
      <c r="B27" s="1959">
        <v>12</v>
      </c>
      <c r="C27" s="1959">
        <v>183</v>
      </c>
      <c r="D27" s="1959">
        <v>10</v>
      </c>
      <c r="E27" s="1959">
        <v>4090</v>
      </c>
      <c r="F27" s="391" t="s">
        <v>2122</v>
      </c>
      <c r="G27" s="1961">
        <v>39669</v>
      </c>
    </row>
    <row r="28" spans="1:7" ht="13.5" thickTop="1" x14ac:dyDescent="0.2">
      <c r="A28" s="1070"/>
      <c r="B28" s="1959"/>
      <c r="C28" s="1959"/>
      <c r="D28" s="1959"/>
      <c r="E28" s="1959"/>
      <c r="F28" s="391"/>
    </row>
    <row r="29" spans="1:7" x14ac:dyDescent="0.2">
      <c r="A29" s="1070"/>
      <c r="B29" s="1965" t="s">
        <v>2130</v>
      </c>
      <c r="C29" s="391" t="s">
        <v>2131</v>
      </c>
      <c r="D29" s="1959"/>
      <c r="E29" s="1959"/>
      <c r="F29" s="391"/>
    </row>
    <row r="30" spans="1:7" x14ac:dyDescent="0.2">
      <c r="A30" s="1070"/>
      <c r="B30" s="1959"/>
      <c r="C30" s="1959"/>
      <c r="D30" s="1959"/>
      <c r="E30" s="1959"/>
      <c r="F30" s="391"/>
    </row>
    <row r="31" spans="1:7" x14ac:dyDescent="0.2">
      <c r="A31" s="1070"/>
      <c r="B31" s="1959"/>
      <c r="C31" s="1959"/>
      <c r="D31" s="1959"/>
      <c r="E31" s="1959"/>
      <c r="F31" s="391"/>
    </row>
    <row r="32" spans="1:7" x14ac:dyDescent="0.2">
      <c r="A32" s="1070"/>
      <c r="F32" s="391"/>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c r="B61" s="258" t="str">
        <f>COVER!A17</f>
        <v>Pearl City CUSD 200</v>
      </c>
    </row>
    <row r="62" spans="1:2" x14ac:dyDescent="0.2">
      <c r="B62" s="1071">
        <f>COVER!A13</f>
        <v>8089200026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T25" sqref="T25:AA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1" t="s">
        <v>1784</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6</xdr:row>
                <xdr:rowOff>0</xdr:rowOff>
              </from>
              <to>
                <xdr:col>1</xdr:col>
                <xdr:colOff>914400</xdr:colOff>
                <xdr:row>10</xdr:row>
                <xdr:rowOff>123825</xdr:rowOff>
              </to>
            </anchor>
          </objectPr>
        </oleObject>
      </mc:Choice>
      <mc:Fallback>
        <oleObject progId="Acrobat Document" dvAspect="DVASPECT_ICON" shapeId="35842" r:id="rId4"/>
      </mc:Fallback>
    </mc:AlternateContent>
    <oleObject progId="PDF" dvAspect="DVASPECT_ICON" shapeId="35841" r:id="rId6"/>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T25" sqref="T25:AA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5"/>
      <c r="H2" s="1075"/>
    </row>
    <row r="3" spans="1:8" ht="57" customHeight="1" x14ac:dyDescent="0.2">
      <c r="A3" s="2375" t="s">
        <v>1786</v>
      </c>
      <c r="B3" s="2376"/>
      <c r="C3" s="2376"/>
      <c r="D3" s="2376"/>
      <c r="E3" s="2376"/>
      <c r="F3" s="2377"/>
      <c r="G3" s="1075"/>
      <c r="H3" s="1075"/>
    </row>
    <row r="4" spans="1:8" ht="14.25" customHeight="1" x14ac:dyDescent="0.2">
      <c r="A4" s="2381" t="s">
        <v>2056</v>
      </c>
      <c r="B4" s="2382"/>
      <c r="C4" s="2382"/>
      <c r="D4" s="2382"/>
      <c r="E4" s="2382"/>
      <c r="F4" s="2383"/>
      <c r="G4" s="1075"/>
      <c r="H4" s="1075"/>
    </row>
    <row r="5" spans="1:8" ht="14.25" customHeight="1" x14ac:dyDescent="0.2">
      <c r="A5" s="2384" t="s">
        <v>2057</v>
      </c>
      <c r="B5" s="2385"/>
      <c r="C5" s="2385"/>
      <c r="D5" s="2385"/>
      <c r="E5" s="2385"/>
      <c r="F5" s="2386"/>
      <c r="G5" s="1075"/>
      <c r="H5" s="1075"/>
    </row>
    <row r="6" spans="1:8" s="1076" customFormat="1" ht="41.25" customHeight="1" x14ac:dyDescent="0.2">
      <c r="A6" s="2378" t="s">
        <v>1792</v>
      </c>
      <c r="B6" s="2379"/>
      <c r="C6" s="2379"/>
      <c r="D6" s="2379"/>
      <c r="E6" s="2379"/>
      <c r="F6" s="238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4173914</v>
      </c>
      <c r="C8" s="1838">
        <f>'Acct Summary 7-8'!D8</f>
        <v>357753</v>
      </c>
      <c r="D8" s="1838">
        <f>'Acct Summary 7-8'!F8</f>
        <v>278845</v>
      </c>
      <c r="E8" s="1838">
        <f>'Acct Summary 7-8'!I8</f>
        <v>21287</v>
      </c>
      <c r="F8" s="1838">
        <f>SUM(B8:E8)</f>
        <v>4831799</v>
      </c>
    </row>
    <row r="9" spans="1:8" s="1080" customFormat="1" ht="14.25" customHeight="1" thickBot="1" x14ac:dyDescent="0.25">
      <c r="A9" s="1079" t="s">
        <v>1436</v>
      </c>
      <c r="B9" s="1839">
        <f>'Acct Summary 7-8'!C17</f>
        <v>4296677</v>
      </c>
      <c r="C9" s="1839">
        <f>'Acct Summary 7-8'!D17</f>
        <v>407115</v>
      </c>
      <c r="D9" s="1839">
        <f>'Acct Summary 7-8'!F17</f>
        <v>276641</v>
      </c>
      <c r="E9" s="1838"/>
      <c r="F9" s="1838">
        <f>SUM(B9:E9)</f>
        <v>4980433</v>
      </c>
    </row>
    <row r="10" spans="1:8" s="1080" customFormat="1" ht="14.25" thickTop="1" thickBot="1" x14ac:dyDescent="0.25">
      <c r="A10" s="1081" t="s">
        <v>1437</v>
      </c>
      <c r="B10" s="1840">
        <f>(B8-B9)</f>
        <v>-122763</v>
      </c>
      <c r="C10" s="1840">
        <f>(C8-C9)</f>
        <v>-49362</v>
      </c>
      <c r="D10" s="1840">
        <f>(D8-D9)</f>
        <v>2204</v>
      </c>
      <c r="E10" s="1839">
        <f>(E8-E9)</f>
        <v>21287</v>
      </c>
      <c r="F10" s="1841">
        <f>SUM(F8-F9)</f>
        <v>-148634</v>
      </c>
    </row>
    <row r="11" spans="1:8" s="1080" customFormat="1" ht="14.25" thickTop="1" thickBot="1" x14ac:dyDescent="0.25">
      <c r="A11" s="1082" t="s">
        <v>1785</v>
      </c>
      <c r="B11" s="1842">
        <f>'Acct Summary 7-8'!C81</f>
        <v>122742</v>
      </c>
      <c r="C11" s="1842">
        <f>'Acct Summary 7-8'!D81</f>
        <v>576406</v>
      </c>
      <c r="D11" s="1842">
        <f>'Acct Summary 7-8'!F81</f>
        <v>284161</v>
      </c>
      <c r="E11" s="1842">
        <f>'Acct Summary 7-8'!I81</f>
        <v>234229</v>
      </c>
      <c r="F11" s="1843">
        <f>SUM(B11:E11)</f>
        <v>1217538</v>
      </c>
    </row>
    <row r="12" spans="1:8" ht="16.5" customHeight="1" thickTop="1" x14ac:dyDescent="0.2">
      <c r="A12" s="1083"/>
      <c r="B12" s="1084"/>
      <c r="C12" s="2366" t="str">
        <f>IF(AND(F10&lt;0,F11&gt;=0,ABS(F10*3)&gt;ABS(F11)),A16,IF(AND(F10&lt;0,F11&gt;0,ABS(F10*3)&lt;=ABS(F11)),A17,IF(AND(F10&lt;0,F11&lt;0),A16,IF(F11=0,A19,A18))))</f>
        <v>Unbalanced -  however, a deficit reduction plan is not required at this time.</v>
      </c>
      <c r="D12" s="2367"/>
      <c r="E12" s="2367"/>
      <c r="F12" s="2368"/>
    </row>
    <row r="13" spans="1:8" ht="19.5" customHeight="1" x14ac:dyDescent="0.2">
      <c r="A13" s="1085"/>
      <c r="B13" s="1086"/>
      <c r="C13" s="2366"/>
      <c r="D13" s="2367"/>
      <c r="E13" s="2367"/>
      <c r="F13" s="2368"/>
      <c r="H13" s="1075"/>
    </row>
    <row r="14" spans="1:8" ht="19.5" customHeight="1" x14ac:dyDescent="0.2">
      <c r="A14" s="1085"/>
      <c r="B14" s="1086"/>
      <c r="C14" s="2366"/>
      <c r="D14" s="2367"/>
      <c r="E14" s="2367"/>
      <c r="F14" s="2368"/>
      <c r="H14" s="1075"/>
    </row>
    <row r="15" spans="1:8" ht="17.25" customHeight="1" x14ac:dyDescent="0.2">
      <c r="A15" s="1085"/>
      <c r="B15" s="1086"/>
      <c r="C15" s="2369"/>
      <c r="D15" s="2370"/>
      <c r="E15" s="2370"/>
      <c r="F15" s="2371"/>
      <c r="H15" s="1075"/>
    </row>
    <row r="16" spans="1:8" s="310" customFormat="1" ht="51.75" hidden="1" customHeight="1" x14ac:dyDescent="0.2">
      <c r="A16" s="2365" t="s">
        <v>1787</v>
      </c>
      <c r="B16" s="2365"/>
      <c r="C16" s="2365"/>
      <c r="D16" s="2365"/>
      <c r="E16" s="236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6" colorId="8" zoomScale="110" zoomScaleNormal="110" workbookViewId="0">
      <selection activeCell="C47" sqref="C4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7" t="s">
        <v>686</v>
      </c>
      <c r="B3" s="2388"/>
      <c r="C3" s="2388"/>
      <c r="D3" s="238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8" t="s">
        <v>1584</v>
      </c>
      <c r="D7" s="239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0" t="s">
        <v>1065</v>
      </c>
      <c r="B15" s="2391"/>
      <c r="C15" s="2391"/>
      <c r="D15" s="2392"/>
    </row>
    <row r="16" spans="1:4" s="669" customFormat="1" ht="24" customHeight="1" x14ac:dyDescent="0.2">
      <c r="A16" s="2393" t="s">
        <v>684</v>
      </c>
      <c r="B16" s="2394"/>
      <c r="C16" s="2394"/>
      <c r="D16" s="239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2" t="s">
        <v>332</v>
      </c>
      <c r="D21" s="2403"/>
    </row>
    <row r="22" spans="1:10" ht="12.75" x14ac:dyDescent="0.2">
      <c r="A22" s="1140"/>
      <c r="B22" s="1141">
        <v>2</v>
      </c>
      <c r="C22" s="2400" t="s">
        <v>1605</v>
      </c>
      <c r="D22" s="240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4" t="s">
        <v>557</v>
      </c>
      <c r="D43" s="240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6" t="s">
        <v>817</v>
      </c>
      <c r="D56" s="239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OK</v>
      </c>
    </row>
    <row r="70" spans="1:4" x14ac:dyDescent="0.2">
      <c r="A70" s="1099"/>
      <c r="B70" s="1121">
        <f>B66+1</f>
        <v>9</v>
      </c>
      <c r="C70" s="2396" t="s">
        <v>1797</v>
      </c>
      <c r="D70" s="239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8089200026</v>
      </c>
    </row>
    <row r="3" spans="1:2" x14ac:dyDescent="0.2">
      <c r="A3" t="s">
        <v>1013</v>
      </c>
      <c r="B3" s="138" t="str">
        <f>COVER!A15</f>
        <v>STEPHENSON</v>
      </c>
    </row>
    <row r="4" spans="1:2" x14ac:dyDescent="0.2">
      <c r="A4" t="s">
        <v>1064</v>
      </c>
      <c r="B4" s="138" t="str">
        <f>COVER!A17</f>
        <v>Pearl City CUSD 200</v>
      </c>
    </row>
    <row r="5" spans="1:2" x14ac:dyDescent="0.2">
      <c r="A5" t="s">
        <v>728</v>
      </c>
      <c r="B5" s="138" t="str">
        <f>COVER!A38</f>
        <v>TIMOTHY THILL</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35521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122559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-183</v>
      </c>
      <c r="C91" s="2" t="s">
        <v>594</v>
      </c>
      <c r="D91" s="2" t="str">
        <f t="shared" si="0"/>
        <v>Error?</v>
      </c>
    </row>
    <row r="92" spans="1:4" x14ac:dyDescent="0.2">
      <c r="A92" s="5">
        <v>31</v>
      </c>
      <c r="B92" s="138">
        <f>'Assets-Liab 5-6'!C39</f>
        <v>122742</v>
      </c>
      <c r="D92" s="2" t="str">
        <f t="shared" si="0"/>
        <v>Error?</v>
      </c>
    </row>
    <row r="93" spans="1:4" x14ac:dyDescent="0.2">
      <c r="A93" s="5">
        <v>32</v>
      </c>
      <c r="B93" s="138">
        <f>'Assets-Liab 5-6'!C41</f>
        <v>122559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576406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576406</v>
      </c>
      <c r="D123" s="2" t="str">
        <f t="shared" si="0"/>
        <v>Error?</v>
      </c>
    </row>
    <row r="124" spans="1:4" x14ac:dyDescent="0.2">
      <c r="A124" s="5">
        <v>63</v>
      </c>
      <c r="B124" s="138">
        <f>'Assets-Liab 5-6'!D41</f>
        <v>576406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63207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63207</v>
      </c>
      <c r="D140" s="2" t="str">
        <f t="shared" si="1"/>
        <v>Error?</v>
      </c>
    </row>
    <row r="141" spans="1:4" x14ac:dyDescent="0.2">
      <c r="A141" s="5">
        <v>80</v>
      </c>
      <c r="B141" s="138">
        <f>'Assets-Liab 5-6'!E41</f>
        <v>63207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284161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284161</v>
      </c>
      <c r="D170" s="2" t="str">
        <f t="shared" si="1"/>
        <v>Error?</v>
      </c>
    </row>
    <row r="171" spans="1:4" x14ac:dyDescent="0.2">
      <c r="A171" s="5">
        <v>110</v>
      </c>
      <c r="B171" s="138">
        <f>'Assets-Liab 5-6'!F41</f>
        <v>284161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41043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21618</v>
      </c>
      <c r="D189" s="2" t="str">
        <f t="shared" si="1"/>
        <v>Error?</v>
      </c>
    </row>
    <row r="190" spans="1:4" x14ac:dyDescent="0.2">
      <c r="A190" s="5">
        <v>129</v>
      </c>
      <c r="B190" s="138">
        <f>'Assets-Liab 5-6'!G41</f>
        <v>41043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3506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3506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17968</v>
      </c>
      <c r="D273" s="2" t="str">
        <f t="shared" si="3"/>
        <v>Error?</v>
      </c>
    </row>
    <row r="274" spans="1:4" x14ac:dyDescent="0.2">
      <c r="A274" s="5">
        <v>213</v>
      </c>
      <c r="B274" s="138">
        <f>'Assets-Liab 5-6'!M17</f>
        <v>11147935</v>
      </c>
      <c r="D274" s="2" t="str">
        <f t="shared" si="3"/>
        <v>Error?</v>
      </c>
    </row>
    <row r="275" spans="1:4" x14ac:dyDescent="0.2">
      <c r="A275" s="5">
        <v>214</v>
      </c>
      <c r="B275" s="138">
        <f>'Assets-Liab 5-6'!M18</f>
        <v>310414</v>
      </c>
      <c r="D275" s="2" t="str">
        <f t="shared" si="3"/>
        <v>Error?</v>
      </c>
    </row>
    <row r="276" spans="1:4" x14ac:dyDescent="0.2">
      <c r="A276" s="5">
        <v>215</v>
      </c>
      <c r="B276" s="138">
        <f>'Assets-Liab 5-6'!M19</f>
        <v>1031044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12507361</v>
      </c>
      <c r="C279" s="2" t="s">
        <v>594</v>
      </c>
      <c r="D279" s="2" t="str">
        <f t="shared" si="3"/>
        <v>Error?</v>
      </c>
    </row>
    <row r="280" spans="1:4" x14ac:dyDescent="0.2">
      <c r="A280" s="5">
        <v>219</v>
      </c>
      <c r="B280" s="138">
        <f>'Assets-Liab 5-6'!M40</f>
        <v>12507361</v>
      </c>
      <c r="D280" s="2" t="str">
        <f t="shared" si="3"/>
        <v>Error?</v>
      </c>
    </row>
    <row r="281" spans="1:4" x14ac:dyDescent="0.2">
      <c r="A281" s="5">
        <v>220</v>
      </c>
      <c r="B281" s="138">
        <f>'Assets-Liab 5-6'!M41</f>
        <v>12507361</v>
      </c>
      <c r="C281" s="2" t="s">
        <v>594</v>
      </c>
      <c r="D281" s="2" t="str">
        <f t="shared" si="3"/>
        <v>Error?</v>
      </c>
    </row>
    <row r="282" spans="1:4" x14ac:dyDescent="0.2">
      <c r="A282" s="5">
        <v>221</v>
      </c>
      <c r="B282" s="138">
        <f>'Assets-Liab 5-6'!N21</f>
        <v>63207</v>
      </c>
      <c r="D282" s="2" t="str">
        <f t="shared" si="3"/>
        <v>Error?</v>
      </c>
    </row>
    <row r="283" spans="1:4" x14ac:dyDescent="0.2">
      <c r="A283" s="5">
        <v>222</v>
      </c>
      <c r="B283" s="138">
        <f>'Assets-Liab 5-6'!N22</f>
        <v>403458</v>
      </c>
      <c r="D283" s="2" t="str">
        <f t="shared" si="3"/>
        <v>Error?</v>
      </c>
    </row>
    <row r="284" spans="1:4" x14ac:dyDescent="0.2">
      <c r="A284" s="5">
        <v>223</v>
      </c>
      <c r="B284" s="138">
        <f>'Assets-Liab 5-6'!N23</f>
        <v>466665</v>
      </c>
      <c r="C284" s="2" t="s">
        <v>594</v>
      </c>
      <c r="D284" s="2" t="str">
        <f t="shared" si="3"/>
        <v>Error?</v>
      </c>
    </row>
    <row r="285" spans="1:4" x14ac:dyDescent="0.2">
      <c r="A285" s="5">
        <v>224</v>
      </c>
      <c r="B285" s="138">
        <f>'Assets-Liab 5-6'!N36</f>
        <v>466665</v>
      </c>
      <c r="D285" s="2" t="str">
        <f t="shared" si="3"/>
        <v>Error?</v>
      </c>
    </row>
    <row r="286" spans="1:4" x14ac:dyDescent="0.2">
      <c r="A286" s="10">
        <v>225</v>
      </c>
      <c r="D286" s="2" t="str">
        <f t="shared" si="3"/>
        <v>OK</v>
      </c>
    </row>
    <row r="287" spans="1:4" x14ac:dyDescent="0.2">
      <c r="A287" s="5">
        <v>226</v>
      </c>
      <c r="B287" s="138">
        <f>'Assets-Liab 5-6'!N37</f>
        <v>466665</v>
      </c>
      <c r="C287" s="2" t="s">
        <v>594</v>
      </c>
      <c r="D287" s="2" t="str">
        <f t="shared" si="3"/>
        <v>Error?</v>
      </c>
    </row>
    <row r="288" spans="1:4" x14ac:dyDescent="0.2">
      <c r="A288" s="5">
        <v>227</v>
      </c>
      <c r="B288" s="138">
        <f>'Assets-Liab 5-6'!N41</f>
        <v>466665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3649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1460566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127361</v>
      </c>
      <c r="D717" s="2" t="str">
        <f t="shared" si="10"/>
        <v>Error?</v>
      </c>
    </row>
    <row r="718" spans="1:4" x14ac:dyDescent="0.2">
      <c r="A718" s="5">
        <v>657</v>
      </c>
      <c r="B718" s="138">
        <f>'Expenditures 15-22'!C14</f>
        <v>68779</v>
      </c>
      <c r="D718" s="2" t="str">
        <f t="shared" si="10"/>
        <v>Error?</v>
      </c>
    </row>
    <row r="719" spans="1:4" x14ac:dyDescent="0.2">
      <c r="A719" s="5">
        <v>658</v>
      </c>
      <c r="B719" s="138">
        <f>'Expenditures 15-22'!C15</f>
        <v>1995</v>
      </c>
      <c r="D719" s="2" t="str">
        <f t="shared" si="10"/>
        <v>Error?</v>
      </c>
    </row>
    <row r="720" spans="1:4" x14ac:dyDescent="0.2">
      <c r="A720" s="5">
        <v>659</v>
      </c>
      <c r="B720" s="138">
        <f>'Expenditures 15-22'!C33</f>
        <v>2104713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40832</v>
      </c>
      <c r="D722" s="2" t="str">
        <f t="shared" si="10"/>
        <v>Error?</v>
      </c>
    </row>
    <row r="723" spans="1:4" x14ac:dyDescent="0.2">
      <c r="A723" s="5">
        <v>662</v>
      </c>
      <c r="B723" s="138">
        <f>'Expenditures 15-22'!C38</f>
        <v>52993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93825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39806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39806</v>
      </c>
      <c r="C731" s="2" t="s">
        <v>594</v>
      </c>
      <c r="D731" s="2" t="str">
        <f t="shared" si="10"/>
        <v>Error?</v>
      </c>
    </row>
    <row r="732" spans="1:4" x14ac:dyDescent="0.2">
      <c r="A732" s="5">
        <v>671</v>
      </c>
      <c r="B732" s="138">
        <f>'Expenditures 15-22'!C49</f>
        <v>1560</v>
      </c>
      <c r="D732" s="2" t="str">
        <f t="shared" si="10"/>
        <v>Error?</v>
      </c>
    </row>
    <row r="733" spans="1:4" x14ac:dyDescent="0.2">
      <c r="A733" s="5">
        <v>672</v>
      </c>
      <c r="B733" s="138">
        <f>'Expenditures 15-22'!C50</f>
        <v>128779</v>
      </c>
      <c r="D733" s="2" t="str">
        <f t="shared" si="10"/>
        <v>Error?</v>
      </c>
    </row>
    <row r="734" spans="1:4" x14ac:dyDescent="0.2">
      <c r="A734" s="5">
        <v>673</v>
      </c>
      <c r="B734" s="138">
        <f>'Expenditures 15-22'!C53</f>
        <v>130339</v>
      </c>
      <c r="C734" s="2" t="s">
        <v>594</v>
      </c>
      <c r="D734" s="2" t="str">
        <f t="shared" si="10"/>
        <v>Error?</v>
      </c>
    </row>
    <row r="735" spans="1:4" x14ac:dyDescent="0.2">
      <c r="A735" s="5">
        <v>674</v>
      </c>
      <c r="B735" s="138">
        <f>'Expenditures 15-22'!C55</f>
        <v>260043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260043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47078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66897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113975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637988</v>
      </c>
      <c r="C755" s="2" t="s">
        <v>594</v>
      </c>
      <c r="D755" s="2" t="str">
        <f t="shared" si="10"/>
        <v>Error?</v>
      </c>
    </row>
    <row r="756" spans="1:4" x14ac:dyDescent="0.2">
      <c r="A756" s="5">
        <v>695</v>
      </c>
      <c r="B756" s="138">
        <f>'Expenditures 15-22'!C75</f>
        <v>102633</v>
      </c>
      <c r="D756" s="2" t="str">
        <f t="shared" si="10"/>
        <v>Error?</v>
      </c>
    </row>
    <row r="757" spans="1:4" x14ac:dyDescent="0.2">
      <c r="A757" s="5">
        <v>696</v>
      </c>
      <c r="B757" s="138">
        <f>'Expenditures 15-22'!C114</f>
        <v>2845334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427927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33171</v>
      </c>
      <c r="D775" s="2" t="str">
        <f t="shared" si="11"/>
        <v>Error?</v>
      </c>
    </row>
    <row r="776" spans="1:4" x14ac:dyDescent="0.2">
      <c r="A776" s="5">
        <v>715</v>
      </c>
      <c r="B776" s="138">
        <f>'Expenditures 15-22'!D14</f>
        <v>2760</v>
      </c>
      <c r="D776" s="2" t="str">
        <f t="shared" si="11"/>
        <v>Error?</v>
      </c>
    </row>
    <row r="777" spans="1:4" x14ac:dyDescent="0.2">
      <c r="A777" s="5">
        <v>716</v>
      </c>
      <c r="B777" s="138">
        <f>'Expenditures 15-22'!D15</f>
        <v>255</v>
      </c>
      <c r="D777" s="2" t="str">
        <f t="shared" si="11"/>
        <v>Error?</v>
      </c>
    </row>
    <row r="778" spans="1:4" x14ac:dyDescent="0.2">
      <c r="A778" s="5">
        <v>717</v>
      </c>
      <c r="B778" s="138">
        <f>'Expenditures 15-22'!D33</f>
        <v>549124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13616</v>
      </c>
      <c r="D780" s="2" t="str">
        <f t="shared" si="11"/>
        <v>Error?</v>
      </c>
    </row>
    <row r="781" spans="1:4" x14ac:dyDescent="0.2">
      <c r="A781" s="5">
        <v>720</v>
      </c>
      <c r="B781" s="138">
        <f>'Expenditures 15-22'!D38</f>
        <v>15098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28714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26673</v>
      </c>
      <c r="D791" s="2" t="str">
        <f t="shared" si="11"/>
        <v>Error?</v>
      </c>
    </row>
    <row r="792" spans="1:4" x14ac:dyDescent="0.2">
      <c r="A792" s="5">
        <v>731</v>
      </c>
      <c r="B792" s="138">
        <f>'Expenditures 15-22'!D53</f>
        <v>26673</v>
      </c>
      <c r="C792" s="2" t="s">
        <v>594</v>
      </c>
      <c r="D792" s="2" t="str">
        <f t="shared" si="11"/>
        <v>Error?</v>
      </c>
    </row>
    <row r="793" spans="1:4" x14ac:dyDescent="0.2">
      <c r="A793" s="5">
        <v>732</v>
      </c>
      <c r="B793" s="138">
        <f>'Expenditures 15-22'!D55</f>
        <v>52314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52314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107747</v>
      </c>
      <c r="C813" s="2" t="s">
        <v>594</v>
      </c>
      <c r="D813" s="2" t="str">
        <f t="shared" si="11"/>
        <v>Error?</v>
      </c>
    </row>
    <row r="814" spans="1:4" x14ac:dyDescent="0.2">
      <c r="A814" s="5">
        <v>753</v>
      </c>
      <c r="B814" s="138">
        <f>'Expenditures 15-22'!D75</f>
        <v>6800</v>
      </c>
      <c r="D814" s="2" t="str">
        <f t="shared" si="11"/>
        <v>Error?</v>
      </c>
    </row>
    <row r="815" spans="1:4" x14ac:dyDescent="0.2">
      <c r="A815" s="5">
        <v>754</v>
      </c>
      <c r="B815" s="138">
        <f>'Expenditures 15-22'!D114</f>
        <v>663671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18442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10861</v>
      </c>
      <c r="D833" s="2" t="str">
        <f t="shared" si="12"/>
        <v>Error?</v>
      </c>
    </row>
    <row r="834" spans="1:4" x14ac:dyDescent="0.2">
      <c r="A834" s="5">
        <v>773</v>
      </c>
      <c r="B834" s="138">
        <f>'Expenditures 15-22'!E14</f>
        <v>19848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57757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495</v>
      </c>
      <c r="D838" s="2" t="str">
        <f t="shared" si="12"/>
        <v>Error?</v>
      </c>
    </row>
    <row r="839" spans="1:4" x14ac:dyDescent="0.2">
      <c r="A839" s="5">
        <v>778</v>
      </c>
      <c r="B839" s="138">
        <f>'Expenditures 15-22'!E38</f>
        <v>212</v>
      </c>
      <c r="D839" s="2" t="str">
        <f t="shared" si="12"/>
        <v>Error?</v>
      </c>
    </row>
    <row r="840" spans="1:4" x14ac:dyDescent="0.2">
      <c r="A840" s="5">
        <v>779</v>
      </c>
      <c r="B840" s="138">
        <f>'Expenditures 15-22'!E39</f>
        <v>61248</v>
      </c>
      <c r="D840" s="2" t="str">
        <f t="shared" si="12"/>
        <v>Error?</v>
      </c>
    </row>
    <row r="841" spans="1:4" x14ac:dyDescent="0.2">
      <c r="A841" s="5">
        <v>780</v>
      </c>
      <c r="B841" s="138">
        <f>'Expenditures 15-22'!E40</f>
        <v>24603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86558</v>
      </c>
      <c r="C843" s="2" t="s">
        <v>594</v>
      </c>
      <c r="D843" s="2" t="str">
        <f t="shared" si="12"/>
        <v>Error?</v>
      </c>
    </row>
    <row r="844" spans="1:4" x14ac:dyDescent="0.2">
      <c r="A844" s="5">
        <v>783</v>
      </c>
      <c r="B844" s="138">
        <f>'Expenditures 15-22'!E44</f>
        <v>2300</v>
      </c>
      <c r="D844" s="2" t="str">
        <f t="shared" si="12"/>
        <v>Error?</v>
      </c>
    </row>
    <row r="845" spans="1:4" x14ac:dyDescent="0.2">
      <c r="A845" s="5">
        <v>784</v>
      </c>
      <c r="B845" s="138">
        <f>'Expenditures 15-22'!E45</f>
        <v>1039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3339</v>
      </c>
      <c r="C847" s="2" t="s">
        <v>594</v>
      </c>
      <c r="D847" s="2" t="str">
        <f t="shared" si="12"/>
        <v>Error?</v>
      </c>
    </row>
    <row r="848" spans="1:4" x14ac:dyDescent="0.2">
      <c r="A848" s="5">
        <v>787</v>
      </c>
      <c r="B848" s="138">
        <f>'Expenditures 15-22'!E49</f>
        <v>23107</v>
      </c>
      <c r="D848" s="2" t="str">
        <f t="shared" si="12"/>
        <v>Error?</v>
      </c>
    </row>
    <row r="849" spans="1:4" x14ac:dyDescent="0.2">
      <c r="A849" s="5">
        <v>788</v>
      </c>
      <c r="B849" s="138">
        <f>'Expenditures 15-22'!E50</f>
        <v>33602</v>
      </c>
      <c r="D849" s="2" t="str">
        <f t="shared" si="12"/>
        <v>Error?</v>
      </c>
    </row>
    <row r="850" spans="1:4" x14ac:dyDescent="0.2">
      <c r="A850" s="5">
        <v>789</v>
      </c>
      <c r="B850" s="138">
        <f>'Expenditures 15-22'!E53</f>
        <v>56709</v>
      </c>
      <c r="C850" s="2" t="s">
        <v>594</v>
      </c>
      <c r="D850" s="2" t="str">
        <f t="shared" si="12"/>
        <v>Error?</v>
      </c>
    </row>
    <row r="851" spans="1:4" x14ac:dyDescent="0.2">
      <c r="A851" s="5">
        <v>790</v>
      </c>
      <c r="B851" s="138">
        <f>'Expenditures 15-22'!E55</f>
        <v>1820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1820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10553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11433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159859</v>
      </c>
      <c r="C871" s="2" t="s">
        <v>594</v>
      </c>
      <c r="D871" s="2" t="str">
        <f t="shared" si="12"/>
        <v>Error?</v>
      </c>
    </row>
    <row r="872" spans="1:4" x14ac:dyDescent="0.2">
      <c r="A872" s="5">
        <v>811</v>
      </c>
      <c r="B872" s="138">
        <f>'Expenditures 15-22'!E75</f>
        <v>45</v>
      </c>
      <c r="D872" s="2" t="str">
        <f t="shared" si="12"/>
        <v>Error?</v>
      </c>
    </row>
    <row r="873" spans="1:4" x14ac:dyDescent="0.2">
      <c r="A873" s="5">
        <v>812</v>
      </c>
      <c r="B873" s="138">
        <f>'Expenditures 15-22'!E114</f>
        <v>390668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46902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981</v>
      </c>
      <c r="D891" s="2" t="str">
        <f t="shared" si="12"/>
        <v>Error?</v>
      </c>
    </row>
    <row r="892" spans="1:4" x14ac:dyDescent="0.2">
      <c r="A892" s="5">
        <v>831</v>
      </c>
      <c r="B892" s="138">
        <f>'Expenditures 15-22'!F14</f>
        <v>7808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59564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3224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3224</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51</v>
      </c>
      <c r="D907" s="2" t="str">
        <f t="shared" si="13"/>
        <v>Error?</v>
      </c>
    </row>
    <row r="908" spans="1:4" x14ac:dyDescent="0.2">
      <c r="A908" s="5">
        <v>847</v>
      </c>
      <c r="B908" s="138">
        <f>'Expenditures 15-22'!F53</f>
        <v>51</v>
      </c>
      <c r="C908" s="2" t="s">
        <v>594</v>
      </c>
      <c r="D908" s="2" t="str">
        <f t="shared" si="13"/>
        <v>Error?</v>
      </c>
    </row>
    <row r="909" spans="1:4" x14ac:dyDescent="0.2">
      <c r="A909" s="5">
        <v>848</v>
      </c>
      <c r="B909" s="138">
        <f>'Expenditures 15-22'!F55</f>
        <v>402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81034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81793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100</v>
      </c>
      <c r="D928" s="2" t="str">
        <f t="shared" si="13"/>
        <v>Error?</v>
      </c>
    </row>
    <row r="929" spans="1:4" x14ac:dyDescent="0.2">
      <c r="A929" s="5">
        <v>868</v>
      </c>
      <c r="B929" s="138">
        <f>'Expenditures 15-22'!F74</f>
        <v>85949</v>
      </c>
      <c r="C929" s="2" t="s">
        <v>594</v>
      </c>
      <c r="D929" s="2" t="str">
        <f t="shared" si="13"/>
        <v>Error?</v>
      </c>
    </row>
    <row r="930" spans="1:4" x14ac:dyDescent="0.2">
      <c r="A930" s="5">
        <v>869</v>
      </c>
      <c r="B930" s="138">
        <f>'Expenditures 15-22'!F75</f>
        <v>5758</v>
      </c>
      <c r="D930" s="2" t="str">
        <f t="shared" si="13"/>
        <v>Error?</v>
      </c>
    </row>
    <row r="931" spans="1:4" x14ac:dyDescent="0.2">
      <c r="A931" s="5">
        <v>870</v>
      </c>
      <c r="B931" s="138">
        <f>'Expenditures 15-22'!F114</f>
        <v>151271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77719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6219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83938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9653</v>
      </c>
      <c r="D965" s="2" t="str">
        <f t="shared" si="14"/>
        <v>Error?</v>
      </c>
    </row>
    <row r="966" spans="1:4" x14ac:dyDescent="0.2">
      <c r="A966" s="5">
        <v>905</v>
      </c>
      <c r="B966" s="138">
        <f>'Expenditures 15-22'!G53</f>
        <v>9653</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9653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93591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21382</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79497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72645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152142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2031556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199975</v>
      </c>
      <c r="C1105" s="2" t="s">
        <v>594</v>
      </c>
      <c r="D1105" s="2" t="str">
        <f t="shared" si="16"/>
        <v>Error?</v>
      </c>
    </row>
    <row r="1106" spans="1:4" x14ac:dyDescent="0.2">
      <c r="A1106" s="5">
        <v>1045</v>
      </c>
      <c r="B1106" s="138">
        <f>'Expenditures 15-22'!K14</f>
        <v>99195</v>
      </c>
      <c r="C1106" s="2" t="s">
        <v>594</v>
      </c>
      <c r="D1106" s="2" t="str">
        <f t="shared" si="16"/>
        <v>Error?</v>
      </c>
    </row>
    <row r="1107" spans="1:4" x14ac:dyDescent="0.2">
      <c r="A1107" s="5">
        <v>1046</v>
      </c>
      <c r="B1107" s="138">
        <f>'Expenditures 15-22'!K15</f>
        <v>2250</v>
      </c>
      <c r="C1107" s="2" t="s">
        <v>594</v>
      </c>
      <c r="D1107" s="2" t="str">
        <f t="shared" si="16"/>
        <v>Error?</v>
      </c>
    </row>
    <row r="1108" spans="1:4" x14ac:dyDescent="0.2">
      <c r="A1108" s="5">
        <v>1047</v>
      </c>
      <c r="B1108" s="138">
        <f>'Expenditures 15-22'!K33</f>
        <v>2934593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54943</v>
      </c>
      <c r="C1110" s="2" t="s">
        <v>594</v>
      </c>
      <c r="D1110" s="2" t="str">
        <f t="shared" si="16"/>
        <v>Error?</v>
      </c>
    </row>
    <row r="1111" spans="1:4" x14ac:dyDescent="0.2">
      <c r="A1111" s="5">
        <v>1050</v>
      </c>
      <c r="B1111" s="138">
        <f>'Expenditures 15-22'!K38</f>
        <v>68682</v>
      </c>
      <c r="C1111" s="2" t="s">
        <v>594</v>
      </c>
      <c r="D1111" s="2" t="str">
        <f t="shared" si="16"/>
        <v>Error?</v>
      </c>
    </row>
    <row r="1112" spans="1:4" x14ac:dyDescent="0.2">
      <c r="A1112" s="5">
        <v>1051</v>
      </c>
      <c r="B1112" s="138">
        <f>'Expenditures 15-22'!K39</f>
        <v>61248</v>
      </c>
      <c r="C1112" s="2" t="s">
        <v>594</v>
      </c>
      <c r="D1112" s="2" t="str">
        <f t="shared" si="16"/>
        <v>Error?</v>
      </c>
    </row>
    <row r="1113" spans="1:4" x14ac:dyDescent="0.2">
      <c r="A1113" s="5">
        <v>1052</v>
      </c>
      <c r="B1113" s="138">
        <f>'Expenditures 15-22'!K40</f>
        <v>24603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209476</v>
      </c>
      <c r="C1115" s="2" t="s">
        <v>594</v>
      </c>
      <c r="D1115" s="2" t="str">
        <f t="shared" si="16"/>
        <v>Error?</v>
      </c>
    </row>
    <row r="1116" spans="1:4" x14ac:dyDescent="0.2">
      <c r="A1116" s="5">
        <v>1055</v>
      </c>
      <c r="B1116" s="138">
        <f>'Expenditures 15-22'!K44</f>
        <v>2300</v>
      </c>
      <c r="C1116" s="2" t="s">
        <v>594</v>
      </c>
      <c r="D1116" s="2" t="str">
        <f t="shared" si="16"/>
        <v>Error?</v>
      </c>
    </row>
    <row r="1117" spans="1:4" x14ac:dyDescent="0.2">
      <c r="A1117" s="5">
        <v>1056</v>
      </c>
      <c r="B1117" s="138">
        <f>'Expenditures 15-22'!K45</f>
        <v>44069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46369</v>
      </c>
      <c r="C1119" s="2" t="s">
        <v>594</v>
      </c>
      <c r="D1119" s="2" t="str">
        <f t="shared" si="16"/>
        <v>Error?</v>
      </c>
    </row>
    <row r="1120" spans="1:4" x14ac:dyDescent="0.2">
      <c r="A1120" s="5">
        <v>1059</v>
      </c>
      <c r="B1120" s="138">
        <f>'Expenditures 15-22'!K49</f>
        <v>24667</v>
      </c>
      <c r="C1120" s="2" t="s">
        <v>594</v>
      </c>
      <c r="D1120" s="2" t="str">
        <f t="shared" si="16"/>
        <v>Error?</v>
      </c>
    </row>
    <row r="1121" spans="1:4" x14ac:dyDescent="0.2">
      <c r="A1121" s="5">
        <v>1060</v>
      </c>
      <c r="B1121" s="138">
        <f>'Expenditures 15-22'!K50</f>
        <v>198758</v>
      </c>
      <c r="C1121" s="2" t="s">
        <v>594</v>
      </c>
      <c r="D1121" s="2" t="str">
        <f t="shared" si="16"/>
        <v>Error?</v>
      </c>
    </row>
    <row r="1122" spans="1:4" x14ac:dyDescent="0.2">
      <c r="A1122" s="5">
        <v>1061</v>
      </c>
      <c r="B1122" s="138">
        <f>'Expenditures 15-22'!K53</f>
        <v>223425</v>
      </c>
      <c r="C1122" s="2" t="s">
        <v>594</v>
      </c>
      <c r="D1122" s="2" t="str">
        <f t="shared" si="16"/>
        <v>Error?</v>
      </c>
    </row>
    <row r="1123" spans="1:4" x14ac:dyDescent="0.2">
      <c r="A1123" s="5">
        <v>1062</v>
      </c>
      <c r="B1123" s="138">
        <f>'Expenditures 15-22'!K55</f>
        <v>314579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314579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58436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148811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207247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100</v>
      </c>
      <c r="C1142" s="2" t="s">
        <v>594</v>
      </c>
      <c r="D1142" s="2" t="str">
        <f t="shared" si="16"/>
        <v>Error?</v>
      </c>
    </row>
    <row r="1143" spans="1:4" x14ac:dyDescent="0.2">
      <c r="A1143" s="5">
        <v>1082</v>
      </c>
      <c r="B1143" s="138">
        <f>'Expenditures 15-22'!K74</f>
        <v>1001196</v>
      </c>
      <c r="C1143" s="2" t="s">
        <v>594</v>
      </c>
      <c r="D1143" s="2" t="str">
        <f t="shared" si="16"/>
        <v>Error?</v>
      </c>
    </row>
    <row r="1144" spans="1:4" x14ac:dyDescent="0.2">
      <c r="A1144" s="5">
        <v>1083</v>
      </c>
      <c r="B1144" s="138">
        <f>'Expenditures 15-22'!K75</f>
        <v>115236</v>
      </c>
      <c r="C1144" s="2" t="s">
        <v>594</v>
      </c>
      <c r="D1144" s="2" t="str">
        <f t="shared" si="16"/>
        <v>Error?</v>
      </c>
    </row>
    <row r="1145" spans="1:4" x14ac:dyDescent="0.2">
      <c r="A1145" s="5">
        <v>1084</v>
      </c>
      <c r="B1145" s="138">
        <f>'Expenditures 15-22'!K102</f>
        <v>245652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4296677</v>
      </c>
      <c r="C1152" s="2" t="s">
        <v>594</v>
      </c>
      <c r="D1152" s="2" t="str">
        <f t="shared" si="17"/>
        <v>Error?</v>
      </c>
    </row>
    <row r="1153" spans="1:4" x14ac:dyDescent="0.2">
      <c r="A1153" s="5">
        <v>1092</v>
      </c>
      <c r="B1153" s="138">
        <f>'Expenditures 15-22'!K115</f>
        <v>-122763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125866</v>
      </c>
      <c r="D1221" s="2" t="str">
        <f t="shared" si="18"/>
        <v>Error?</v>
      </c>
    </row>
    <row r="1222" spans="1:4" x14ac:dyDescent="0.2">
      <c r="A1222" s="10">
        <v>1161</v>
      </c>
      <c r="D1222" s="2" t="str">
        <f t="shared" si="18"/>
        <v>OK</v>
      </c>
    </row>
    <row r="1223" spans="1:4" x14ac:dyDescent="0.2">
      <c r="A1223" s="5">
        <v>1162</v>
      </c>
      <c r="B1223" s="138">
        <f>'Expenditures 15-22'!C127</f>
        <v>125866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125866</v>
      </c>
      <c r="C1225" s="2" t="s">
        <v>594</v>
      </c>
      <c r="D1225" s="2" t="str">
        <f t="shared" si="18"/>
        <v>Error?</v>
      </c>
    </row>
    <row r="1226" spans="1:4" x14ac:dyDescent="0.2">
      <c r="A1226" s="5">
        <v>1165</v>
      </c>
      <c r="B1226" s="138">
        <f>'Expenditures 15-22'!C151</f>
        <v>125866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27112</v>
      </c>
      <c r="D1229" s="2" t="str">
        <f t="shared" si="18"/>
        <v>Error?</v>
      </c>
    </row>
    <row r="1230" spans="1:4" x14ac:dyDescent="0.2">
      <c r="A1230" s="10">
        <v>1169</v>
      </c>
      <c r="D1230" s="2" t="str">
        <f t="shared" si="18"/>
        <v>OK</v>
      </c>
    </row>
    <row r="1231" spans="1:4" x14ac:dyDescent="0.2">
      <c r="A1231" s="5">
        <v>1170</v>
      </c>
      <c r="B1231" s="138">
        <f>'Expenditures 15-22'!D127</f>
        <v>27112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27112</v>
      </c>
      <c r="C1233" s="2" t="s">
        <v>594</v>
      </c>
      <c r="D1233" s="2" t="str">
        <f t="shared" si="18"/>
        <v>Error?</v>
      </c>
    </row>
    <row r="1234" spans="1:4" x14ac:dyDescent="0.2">
      <c r="A1234" s="5">
        <v>1173</v>
      </c>
      <c r="B1234" s="138">
        <f>'Expenditures 15-22'!D151</f>
        <v>27112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76546</v>
      </c>
      <c r="D1237" s="2" t="str">
        <f t="shared" si="18"/>
        <v>Error?</v>
      </c>
    </row>
    <row r="1238" spans="1:4" x14ac:dyDescent="0.2">
      <c r="A1238" s="10">
        <v>1177</v>
      </c>
      <c r="D1238" s="2" t="str">
        <f t="shared" si="18"/>
        <v>OK</v>
      </c>
    </row>
    <row r="1239" spans="1:4" x14ac:dyDescent="0.2">
      <c r="A1239" s="5">
        <v>1178</v>
      </c>
      <c r="B1239" s="138">
        <f>'Expenditures 15-22'!E127</f>
        <v>76546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76546</v>
      </c>
      <c r="C1241" s="2" t="s">
        <v>594</v>
      </c>
      <c r="D1241" s="2" t="str">
        <f t="shared" si="18"/>
        <v>Error?</v>
      </c>
    </row>
    <row r="1242" spans="1:4" x14ac:dyDescent="0.2">
      <c r="A1242" s="5">
        <v>1181</v>
      </c>
      <c r="B1242" s="138">
        <f>'Expenditures 15-22'!E151</f>
        <v>76546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115061</v>
      </c>
      <c r="D1245" s="2" t="str">
        <f t="shared" si="18"/>
        <v>Error?</v>
      </c>
    </row>
    <row r="1246" spans="1:4" x14ac:dyDescent="0.2">
      <c r="A1246" s="10">
        <v>1185</v>
      </c>
      <c r="D1246" s="2" t="str">
        <f t="shared" si="18"/>
        <v>OK</v>
      </c>
    </row>
    <row r="1247" spans="1:4" x14ac:dyDescent="0.2">
      <c r="A1247" s="5">
        <v>1186</v>
      </c>
      <c r="B1247" s="138">
        <f>'Expenditures 15-22'!F127</f>
        <v>115061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115061</v>
      </c>
      <c r="C1249" s="2" t="s">
        <v>594</v>
      </c>
      <c r="D1249" s="2" t="str">
        <f t="shared" si="18"/>
        <v>Error?</v>
      </c>
    </row>
    <row r="1250" spans="1:4" x14ac:dyDescent="0.2">
      <c r="A1250" s="5">
        <v>1189</v>
      </c>
      <c r="B1250" s="138">
        <f>'Expenditures 15-22'!F151</f>
        <v>115061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62530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62530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62530</v>
      </c>
      <c r="C1258" s="2" t="s">
        <v>594</v>
      </c>
      <c r="D1258" s="2" t="str">
        <f t="shared" si="18"/>
        <v>Error?</v>
      </c>
    </row>
    <row r="1259" spans="1:4" x14ac:dyDescent="0.2">
      <c r="A1259" s="5">
        <v>1198</v>
      </c>
      <c r="B1259" s="138">
        <f>'Expenditures 15-22'!G151</f>
        <v>62530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407115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407115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407115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407115</v>
      </c>
      <c r="C1288" s="2" t="s">
        <v>594</v>
      </c>
      <c r="D1288" s="2" t="str">
        <f t="shared" si="19"/>
        <v>Error?</v>
      </c>
    </row>
    <row r="1289" spans="1:4" x14ac:dyDescent="0.2">
      <c r="A1289" s="5">
        <v>1228</v>
      </c>
      <c r="B1289" s="138">
        <f>'Expenditures 15-22'!K152</f>
        <v>-49362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402192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231899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634091</v>
      </c>
      <c r="C1317" s="2" t="s">
        <v>594</v>
      </c>
      <c r="D1317" s="2" t="str">
        <f t="shared" si="19"/>
        <v>Error?</v>
      </c>
    </row>
    <row r="1318" spans="1:4" x14ac:dyDescent="0.2">
      <c r="A1318" s="5">
        <v>1257</v>
      </c>
      <c r="B1318" s="138">
        <f>'Expenditures 15-22'!H174</f>
        <v>634091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402192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231899</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634091</v>
      </c>
      <c r="C1331" s="2" t="s">
        <v>594</v>
      </c>
      <c r="D1331" s="2" t="str">
        <f t="shared" si="19"/>
        <v>Error?</v>
      </c>
    </row>
    <row r="1332" spans="1:4" x14ac:dyDescent="0.2">
      <c r="A1332" s="5">
        <v>1271</v>
      </c>
      <c r="B1332" s="138">
        <f>'Expenditures 15-22'!K174</f>
        <v>634091</v>
      </c>
      <c r="C1332" s="2" t="s">
        <v>594</v>
      </c>
      <c r="D1332" s="2" t="str">
        <f t="shared" si="19"/>
        <v>Error?</v>
      </c>
    </row>
    <row r="1333" spans="1:4" x14ac:dyDescent="0.2">
      <c r="A1333" s="5">
        <v>1272</v>
      </c>
      <c r="B1333" s="138">
        <f>'Expenditures 15-22'!K175</f>
        <v>-32872</v>
      </c>
      <c r="C1333" s="2" t="s">
        <v>594</v>
      </c>
      <c r="D1333" s="2" t="str">
        <f t="shared" si="19"/>
        <v>Error?</v>
      </c>
    </row>
    <row r="1334" spans="1:4" x14ac:dyDescent="0.2">
      <c r="A1334" s="10">
        <v>1273</v>
      </c>
      <c r="D1334" s="2" t="str">
        <f t="shared" si="19"/>
        <v>OK</v>
      </c>
    </row>
    <row r="1335" spans="1:4" x14ac:dyDescent="0.2">
      <c r="A1335" s="5">
        <v>1274</v>
      </c>
      <c r="B1335" s="138">
        <f>'Expenditures 15-22'!C182</f>
        <v>121283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121283</v>
      </c>
      <c r="C1339" s="2" t="s">
        <v>594</v>
      </c>
      <c r="D1339" s="2" t="str">
        <f t="shared" si="19"/>
        <v>Error?</v>
      </c>
    </row>
    <row r="1340" spans="1:4" x14ac:dyDescent="0.2">
      <c r="A1340" s="5">
        <v>1279</v>
      </c>
      <c r="B1340" s="138">
        <f>'Expenditures 15-22'!C210</f>
        <v>121283</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102637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102637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102637</v>
      </c>
      <c r="C1353" s="2" t="s">
        <v>594</v>
      </c>
      <c r="D1353" s="2" t="str">
        <f t="shared" si="20"/>
        <v>Error?</v>
      </c>
    </row>
    <row r="1354" spans="1:4" x14ac:dyDescent="0.2">
      <c r="A1354" s="5">
        <v>1293</v>
      </c>
      <c r="B1354" s="138">
        <f>'Expenditures 15-22'!F182</f>
        <v>30076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30076</v>
      </c>
      <c r="C1358" s="2" t="s">
        <v>594</v>
      </c>
      <c r="D1358" s="2" t="str">
        <f t="shared" si="20"/>
        <v>Error?</v>
      </c>
    </row>
    <row r="1359" spans="1:4" x14ac:dyDescent="0.2">
      <c r="A1359" s="5">
        <v>1298</v>
      </c>
      <c r="B1359" s="138">
        <f>'Expenditures 15-22'!F210</f>
        <v>30076</v>
      </c>
      <c r="C1359" s="2" t="s">
        <v>594</v>
      </c>
      <c r="D1359" s="2" t="str">
        <f t="shared" si="20"/>
        <v>Error?</v>
      </c>
    </row>
    <row r="1360" spans="1:4" x14ac:dyDescent="0.2">
      <c r="A1360" s="5">
        <v>1299</v>
      </c>
      <c r="B1360" s="138">
        <f>'Expenditures 15-22'!G182</f>
        <v>22645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22645</v>
      </c>
      <c r="C1364" s="2" t="s">
        <v>594</v>
      </c>
      <c r="D1364" s="2" t="str">
        <f t="shared" si="20"/>
        <v>Error?</v>
      </c>
    </row>
    <row r="1365" spans="1:4" x14ac:dyDescent="0.2">
      <c r="A1365" s="5">
        <v>1304</v>
      </c>
      <c r="B1365" s="138">
        <f>'Expenditures 15-22'!G210</f>
        <v>22645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276641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276641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276641</v>
      </c>
      <c r="C1388" s="2" t="s">
        <v>594</v>
      </c>
      <c r="D1388" s="2" t="str">
        <f t="shared" si="20"/>
        <v>Error?</v>
      </c>
    </row>
    <row r="1389" spans="1:4" x14ac:dyDescent="0.2">
      <c r="A1389" s="5">
        <v>1328</v>
      </c>
      <c r="B1389" s="138">
        <f>'Expenditures 15-22'!K211</f>
        <v>2204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1865</v>
      </c>
      <c r="D1407" s="2" t="str">
        <f t="shared" ref="D1407:D1470" si="21">IF(ISBLANK(B1407),"OK",IF(A1407-B1407=0,"OK","Error?"))</f>
        <v>Error?</v>
      </c>
    </row>
    <row r="1408" spans="1:4" x14ac:dyDescent="0.2">
      <c r="A1408" s="5">
        <v>1347</v>
      </c>
      <c r="B1408" s="138">
        <f>'Expenditures 15-22'!D223</f>
        <v>4103</v>
      </c>
      <c r="D1408" s="2" t="str">
        <f t="shared" si="21"/>
        <v>Error?</v>
      </c>
    </row>
    <row r="1409" spans="1:4" x14ac:dyDescent="0.2">
      <c r="A1409" s="5">
        <v>1348</v>
      </c>
      <c r="B1409" s="138">
        <f>'Expenditures 15-22'!D224</f>
        <v>29</v>
      </c>
      <c r="D1409" s="2" t="str">
        <f t="shared" si="21"/>
        <v>Error?</v>
      </c>
    </row>
    <row r="1410" spans="1:4" x14ac:dyDescent="0.2">
      <c r="A1410" s="5">
        <v>1349</v>
      </c>
      <c r="B1410" s="138">
        <f>'Expenditures 15-22'!D229</f>
        <v>69555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592</v>
      </c>
      <c r="D1412" s="2" t="str">
        <f t="shared" si="21"/>
        <v>Error?</v>
      </c>
    </row>
    <row r="1413" spans="1:4" x14ac:dyDescent="0.2">
      <c r="A1413" s="5">
        <v>1352</v>
      </c>
      <c r="B1413" s="138">
        <f>'Expenditures 15-22'!D234</f>
        <v>862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1454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6584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6584</v>
      </c>
      <c r="C1421" s="2" t="s">
        <v>594</v>
      </c>
      <c r="D1421" s="2" t="str">
        <f t="shared" si="21"/>
        <v>Error?</v>
      </c>
    </row>
    <row r="1422" spans="1:4" x14ac:dyDescent="0.2">
      <c r="A1422" s="5">
        <v>1361</v>
      </c>
      <c r="B1422" s="138">
        <f>'Expenditures 15-22'!D245</f>
        <v>119</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119</v>
      </c>
      <c r="C1424" s="2" t="s">
        <v>594</v>
      </c>
      <c r="D1424" s="2" t="str">
        <f t="shared" si="21"/>
        <v>Error?</v>
      </c>
    </row>
    <row r="1425" spans="1:4" x14ac:dyDescent="0.2">
      <c r="A1425" s="5">
        <v>1364</v>
      </c>
      <c r="B1425" s="138">
        <f>'Expenditures 15-22'!D259</f>
        <v>12289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12289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8791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22880</v>
      </c>
      <c r="D1431" s="2" t="str">
        <f t="shared" si="21"/>
        <v>Error?</v>
      </c>
    </row>
    <row r="1432" spans="1:4" x14ac:dyDescent="0.2">
      <c r="A1432" s="5">
        <v>1371</v>
      </c>
      <c r="B1432" s="138">
        <f>'Expenditures 15-22'!D267</f>
        <v>18913</v>
      </c>
      <c r="D1432" s="2" t="str">
        <f t="shared" si="21"/>
        <v>Error?</v>
      </c>
    </row>
    <row r="1433" spans="1:4" x14ac:dyDescent="0.2">
      <c r="A1433" s="5">
        <v>1372</v>
      </c>
      <c r="B1433" s="138">
        <f>'Expenditures 15-22'!D268</f>
        <v>11969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62553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82999</v>
      </c>
      <c r="C1446" s="2" t="s">
        <v>594</v>
      </c>
      <c r="D1446" s="2" t="str">
        <f t="shared" si="21"/>
        <v>Error?</v>
      </c>
    </row>
    <row r="1447" spans="1:4" x14ac:dyDescent="0.2">
      <c r="A1447" s="5">
        <v>1386</v>
      </c>
      <c r="B1447" s="138">
        <f>'Expenditures 15-22'!D280</f>
        <v>19005</v>
      </c>
      <c r="D1447" s="2" t="str">
        <f t="shared" si="21"/>
        <v>Error?</v>
      </c>
    </row>
    <row r="1448" spans="1:4" x14ac:dyDescent="0.2">
      <c r="A1448" s="5">
        <v>1387</v>
      </c>
      <c r="B1448" s="138">
        <f>'Expenditures 15-22'!D295</f>
        <v>171559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1865</v>
      </c>
      <c r="C1471" s="2" t="s">
        <v>594</v>
      </c>
      <c r="D1471" s="2" t="str">
        <f t="shared" ref="D1471:D1534" si="22">IF(ISBLANK(B1471),"OK",IF(A1471-B1471=0,"OK","Error?"))</f>
        <v>Error?</v>
      </c>
    </row>
    <row r="1472" spans="1:4" x14ac:dyDescent="0.2">
      <c r="A1472" s="5">
        <v>1411</v>
      </c>
      <c r="B1472" s="138">
        <f>'Expenditures 15-22'!K223</f>
        <v>4103</v>
      </c>
      <c r="C1472" s="2" t="s">
        <v>594</v>
      </c>
      <c r="D1472" s="2" t="str">
        <f t="shared" si="22"/>
        <v>Error?</v>
      </c>
    </row>
    <row r="1473" spans="1:4" x14ac:dyDescent="0.2">
      <c r="A1473" s="5">
        <v>1412</v>
      </c>
      <c r="B1473" s="138">
        <f>'Expenditures 15-22'!K224</f>
        <v>29</v>
      </c>
      <c r="C1473" s="2" t="s">
        <v>594</v>
      </c>
      <c r="D1473" s="2" t="str">
        <f t="shared" si="22"/>
        <v>Error?</v>
      </c>
    </row>
    <row r="1474" spans="1:4" x14ac:dyDescent="0.2">
      <c r="A1474" s="5">
        <v>1413</v>
      </c>
      <c r="B1474" s="138">
        <f>'Expenditures 15-22'!K229</f>
        <v>69555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592</v>
      </c>
      <c r="C1476" s="2" t="s">
        <v>594</v>
      </c>
      <c r="D1476" s="2" t="str">
        <f t="shared" si="22"/>
        <v>Error?</v>
      </c>
    </row>
    <row r="1477" spans="1:4" x14ac:dyDescent="0.2">
      <c r="A1477" s="5">
        <v>1416</v>
      </c>
      <c r="B1477" s="138">
        <f>'Expenditures 15-22'!K234</f>
        <v>862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1454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6584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6584</v>
      </c>
      <c r="C1485" s="2" t="s">
        <v>594</v>
      </c>
      <c r="D1485" s="2" t="str">
        <f t="shared" si="22"/>
        <v>Error?</v>
      </c>
    </row>
    <row r="1486" spans="1:4" x14ac:dyDescent="0.2">
      <c r="A1486" s="5">
        <v>1425</v>
      </c>
      <c r="B1486" s="138">
        <f>'Expenditures 15-22'!K245</f>
        <v>119</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119</v>
      </c>
      <c r="C1488" s="2" t="s">
        <v>594</v>
      </c>
      <c r="D1488" s="2" t="str">
        <f t="shared" si="22"/>
        <v>Error?</v>
      </c>
    </row>
    <row r="1489" spans="1:4" x14ac:dyDescent="0.2">
      <c r="A1489" s="5">
        <v>1428</v>
      </c>
      <c r="B1489" s="138">
        <f>'Expenditures 15-22'!K259</f>
        <v>12289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12289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8791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22880</v>
      </c>
      <c r="C1495" s="2" t="s">
        <v>594</v>
      </c>
      <c r="D1495" s="2" t="str">
        <f t="shared" si="22"/>
        <v>Error?</v>
      </c>
    </row>
    <row r="1496" spans="1:4" x14ac:dyDescent="0.2">
      <c r="A1496" s="5">
        <v>1435</v>
      </c>
      <c r="B1496" s="138">
        <f>'Expenditures 15-22'!K267</f>
        <v>18913</v>
      </c>
      <c r="C1496" s="2" t="s">
        <v>594</v>
      </c>
      <c r="D1496" s="2" t="str">
        <f t="shared" si="22"/>
        <v>Error?</v>
      </c>
    </row>
    <row r="1497" spans="1:4" x14ac:dyDescent="0.2">
      <c r="A1497" s="5">
        <v>1436</v>
      </c>
      <c r="B1497" s="138">
        <f>'Expenditures 15-22'!K268</f>
        <v>11969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62553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82999</v>
      </c>
      <c r="C1510" s="2" t="s">
        <v>594</v>
      </c>
      <c r="D1510" s="2" t="str">
        <f t="shared" si="22"/>
        <v>Error?</v>
      </c>
    </row>
    <row r="1511" spans="1:4" x14ac:dyDescent="0.2">
      <c r="A1511" s="5">
        <v>1450</v>
      </c>
      <c r="B1511" s="138">
        <f>'Expenditures 15-22'!K280</f>
        <v>19005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171559</v>
      </c>
      <c r="C1517" s="2" t="s">
        <v>594</v>
      </c>
      <c r="D1517" s="2" t="str">
        <f t="shared" si="22"/>
        <v>Error?</v>
      </c>
    </row>
    <row r="1518" spans="1:4" x14ac:dyDescent="0.2">
      <c r="A1518" s="5">
        <v>1457</v>
      </c>
      <c r="B1518" s="138">
        <f>'Expenditures 15-22'!K296</f>
        <v>17262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123881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122742</v>
      </c>
      <c r="C1630" s="2" t="s">
        <v>594</v>
      </c>
      <c r="D1630" s="2" t="str">
        <f t="shared" si="24"/>
        <v>Error?</v>
      </c>
    </row>
    <row r="1631" spans="1:4" x14ac:dyDescent="0.2">
      <c r="A1631" s="5">
        <v>1570</v>
      </c>
      <c r="B1631" s="138">
        <f>'Acct Summary 7-8'!D79</f>
        <v>625768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576406</v>
      </c>
      <c r="C1644" s="2" t="s">
        <v>594</v>
      </c>
      <c r="D1644" s="2" t="str">
        <f t="shared" si="24"/>
        <v>Error?</v>
      </c>
    </row>
    <row r="1645" spans="1:4" x14ac:dyDescent="0.2">
      <c r="A1645" s="5">
        <v>1584</v>
      </c>
      <c r="B1645" s="138">
        <f>'Acct Summary 7-8'!E79</f>
        <v>59721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63207</v>
      </c>
      <c r="C1658" s="2" t="s">
        <v>594</v>
      </c>
      <c r="D1658" s="2" t="str">
        <f t="shared" si="24"/>
        <v>Error?</v>
      </c>
    </row>
    <row r="1659" spans="1:4" x14ac:dyDescent="0.2">
      <c r="A1659" s="5">
        <v>1598</v>
      </c>
      <c r="B1659" s="138">
        <f>'Acct Summary 7-8'!F79</f>
        <v>281957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284161</v>
      </c>
      <c r="C1672" s="2" t="s">
        <v>594</v>
      </c>
      <c r="D1672" s="2" t="str">
        <f t="shared" si="25"/>
        <v>Error?</v>
      </c>
    </row>
    <row r="1673" spans="1:4" x14ac:dyDescent="0.2">
      <c r="A1673" s="5">
        <v>1612</v>
      </c>
      <c r="B1673" s="138">
        <f>'Acct Summary 7-8'!G79</f>
        <v>23781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41043</v>
      </c>
      <c r="C1686" s="2" t="s">
        <v>594</v>
      </c>
      <c r="D1686" s="2" t="str">
        <f t="shared" si="25"/>
        <v>Error?</v>
      </c>
    </row>
    <row r="1687" spans="1:4" x14ac:dyDescent="0.2">
      <c r="A1687" s="5">
        <v>1626</v>
      </c>
      <c r="B1687" s="138">
        <f>'Acct Summary 7-8'!H79</f>
        <v>3506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3506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1386607</v>
      </c>
      <c r="C1744" s="2" t="s">
        <v>594</v>
      </c>
      <c r="D1744" s="2" t="str">
        <f t="shared" si="26"/>
        <v>Error?</v>
      </c>
    </row>
    <row r="1745" spans="1:5" x14ac:dyDescent="0.2">
      <c r="A1745" s="5">
        <v>1684</v>
      </c>
      <c r="B1745" s="138">
        <f>'Tax Sched 23'!B5</f>
        <v>293525</v>
      </c>
      <c r="C1745" s="2" t="s">
        <v>594</v>
      </c>
      <c r="D1745" s="2" t="str">
        <f t="shared" si="26"/>
        <v>Error?</v>
      </c>
    </row>
    <row r="1746" spans="1:5" x14ac:dyDescent="0.2">
      <c r="A1746" s="5">
        <v>1685</v>
      </c>
      <c r="B1746" s="138">
        <f>'Tax Sched 23'!B6</f>
        <v>598486</v>
      </c>
      <c r="C1746" s="2" t="s">
        <v>594</v>
      </c>
      <c r="D1746" s="2" t="str">
        <f t="shared" si="26"/>
        <v>Error?</v>
      </c>
    </row>
    <row r="1747" spans="1:5" x14ac:dyDescent="0.2">
      <c r="A1747" s="5">
        <v>1686</v>
      </c>
      <c r="B1747" s="138">
        <f>'Tax Sched 23'!B7</f>
        <v>108987</v>
      </c>
      <c r="C1747" s="2" t="s">
        <v>594</v>
      </c>
      <c r="D1747" s="2" t="str">
        <f t="shared" si="26"/>
        <v>Error?</v>
      </c>
    </row>
    <row r="1748" spans="1:5" x14ac:dyDescent="0.2">
      <c r="A1748" s="5">
        <v>1687</v>
      </c>
      <c r="B1748" s="138">
        <f>'Tax Sched 23'!B8</f>
        <v>68143</v>
      </c>
      <c r="C1748" s="2" t="s">
        <v>594</v>
      </c>
      <c r="D1748" s="2" t="str">
        <f t="shared" si="26"/>
        <v>Error?</v>
      </c>
    </row>
    <row r="1749" spans="1:5" x14ac:dyDescent="0.2">
      <c r="A1749" s="5">
        <v>1688</v>
      </c>
      <c r="B1749" s="138">
        <f>'Tax Sched 23'!B10</f>
        <v>17638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112748</v>
      </c>
      <c r="C1752" s="2" t="s">
        <v>594</v>
      </c>
      <c r="D1752" s="2" t="str">
        <f t="shared" si="26"/>
        <v>Error?</v>
      </c>
    </row>
    <row r="1753" spans="1:5" x14ac:dyDescent="0.2">
      <c r="A1753" s="5">
        <v>1692</v>
      </c>
      <c r="B1753" s="138">
        <f>'Tax Sched 23'!B12</f>
        <v>26104</v>
      </c>
      <c r="C1753" s="2" t="s">
        <v>594</v>
      </c>
      <c r="D1753" s="2" t="str">
        <f t="shared" si="26"/>
        <v>Error?</v>
      </c>
    </row>
    <row r="1754" spans="1:5" x14ac:dyDescent="0.2">
      <c r="A1754" s="5">
        <v>1693</v>
      </c>
      <c r="B1754" s="138">
        <f>'Tax Sched 23'!B14</f>
        <v>21829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2775724</v>
      </c>
      <c r="C1759" s="2" t="s">
        <v>594</v>
      </c>
      <c r="D1759" s="2" t="str">
        <f t="shared" si="26"/>
        <v>Error?</v>
      </c>
    </row>
    <row r="1760" spans="1:5" x14ac:dyDescent="0.2">
      <c r="A1760" s="5">
        <v>1699</v>
      </c>
      <c r="B1760" s="138">
        <f>'Tax Sched 23'!D4</f>
        <v>1380504</v>
      </c>
      <c r="C1760" s="2" t="s">
        <v>594</v>
      </c>
      <c r="D1760" s="2" t="str">
        <f t="shared" si="26"/>
        <v>Error?</v>
      </c>
    </row>
    <row r="1761" spans="1:5" x14ac:dyDescent="0.2">
      <c r="A1761" s="5">
        <v>1700</v>
      </c>
      <c r="B1761" s="138">
        <f>'Tax Sched 23'!D5</f>
        <v>292810</v>
      </c>
      <c r="C1761" s="2" t="s">
        <v>594</v>
      </c>
      <c r="D1761" s="2" t="str">
        <f t="shared" si="26"/>
        <v>Error?</v>
      </c>
    </row>
    <row r="1762" spans="1:5" s="8" customFormat="1" x14ac:dyDescent="0.2">
      <c r="A1762" s="5">
        <v>1701</v>
      </c>
      <c r="B1762" s="138">
        <f>'Tax Sched 23'!D6</f>
        <v>596118</v>
      </c>
      <c r="C1762" s="2" t="s">
        <v>594</v>
      </c>
      <c r="D1762" s="2" t="str">
        <f t="shared" si="26"/>
        <v>Error?</v>
      </c>
      <c r="E1762" s="9"/>
    </row>
    <row r="1763" spans="1:5" x14ac:dyDescent="0.2">
      <c r="A1763" s="5">
        <v>1702</v>
      </c>
      <c r="B1763" s="138">
        <f>'Tax Sched 23'!D7</f>
        <v>108548</v>
      </c>
      <c r="C1763" s="2" t="s">
        <v>594</v>
      </c>
      <c r="D1763" s="2" t="str">
        <f t="shared" si="26"/>
        <v>Error?</v>
      </c>
    </row>
    <row r="1764" spans="1:5" x14ac:dyDescent="0.2">
      <c r="A1764" s="5">
        <v>1703</v>
      </c>
      <c r="B1764" s="138">
        <f>'Tax Sched 23'!D8</f>
        <v>67826</v>
      </c>
      <c r="C1764" s="2" t="s">
        <v>594</v>
      </c>
      <c r="D1764" s="2" t="str">
        <f t="shared" si="26"/>
        <v>Error?</v>
      </c>
    </row>
    <row r="1765" spans="1:5" x14ac:dyDescent="0.2">
      <c r="A1765" s="5">
        <v>1704</v>
      </c>
      <c r="B1765" s="138">
        <f>'Tax Sched 23'!D10</f>
        <v>17567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112294</v>
      </c>
      <c r="C1768" s="2" t="s">
        <v>594</v>
      </c>
      <c r="D1768" s="2" t="str">
        <f t="shared" si="26"/>
        <v>Error?</v>
      </c>
    </row>
    <row r="1769" spans="1:5" x14ac:dyDescent="0.2">
      <c r="A1769" s="5">
        <v>1708</v>
      </c>
      <c r="B1769" s="138">
        <f>'Tax Sched 23'!D12</f>
        <v>25999</v>
      </c>
      <c r="C1769" s="2" t="s">
        <v>594</v>
      </c>
      <c r="D1769" s="2" t="str">
        <f t="shared" si="26"/>
        <v>Error?</v>
      </c>
    </row>
    <row r="1770" spans="1:5" x14ac:dyDescent="0.2">
      <c r="A1770" s="5">
        <v>1709</v>
      </c>
      <c r="B1770" s="138">
        <f>'Tax Sched 23'!D14</f>
        <v>21741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2764537</v>
      </c>
      <c r="C1775" s="2" t="s">
        <v>594</v>
      </c>
      <c r="D1775" s="2" t="str">
        <f t="shared" si="26"/>
        <v>Error?</v>
      </c>
    </row>
    <row r="1776" spans="1:5" x14ac:dyDescent="0.2">
      <c r="A1776" s="5">
        <v>1715</v>
      </c>
      <c r="B1776" s="138">
        <f>'Tax Sched 23'!C4</f>
        <v>6103</v>
      </c>
      <c r="D1776" s="2" t="str">
        <f t="shared" si="26"/>
        <v>Error?</v>
      </c>
    </row>
    <row r="1777" spans="1:4" x14ac:dyDescent="0.2">
      <c r="A1777" s="5">
        <v>1716</v>
      </c>
      <c r="B1777" s="138">
        <f>'Tax Sched 23'!C5</f>
        <v>715</v>
      </c>
      <c r="D1777" s="2" t="str">
        <f t="shared" si="26"/>
        <v>Error?</v>
      </c>
    </row>
    <row r="1778" spans="1:4" x14ac:dyDescent="0.2">
      <c r="A1778" s="5">
        <v>1717</v>
      </c>
      <c r="B1778" s="138">
        <f>'Tax Sched 23'!C6</f>
        <v>2368</v>
      </c>
      <c r="D1778" s="2" t="str">
        <f t="shared" si="26"/>
        <v>Error?</v>
      </c>
    </row>
    <row r="1779" spans="1:4" x14ac:dyDescent="0.2">
      <c r="A1779" s="5">
        <v>1718</v>
      </c>
      <c r="B1779" s="138">
        <f>'Tax Sched 23'!C7</f>
        <v>439</v>
      </c>
      <c r="D1779" s="2" t="str">
        <f t="shared" si="26"/>
        <v>Error?</v>
      </c>
    </row>
    <row r="1780" spans="1:4" x14ac:dyDescent="0.2">
      <c r="A1780" s="5">
        <v>1719</v>
      </c>
      <c r="B1780" s="138">
        <f>'Tax Sched 23'!C8</f>
        <v>317</v>
      </c>
      <c r="D1780" s="2" t="str">
        <f t="shared" si="26"/>
        <v>Error?</v>
      </c>
    </row>
    <row r="1781" spans="1:4" x14ac:dyDescent="0.2">
      <c r="A1781" s="5">
        <v>1720</v>
      </c>
      <c r="B1781" s="138">
        <f>'Tax Sched 23'!C10</f>
        <v>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454</v>
      </c>
      <c r="D1784" s="2" t="str">
        <f t="shared" si="26"/>
        <v>Error?</v>
      </c>
    </row>
    <row r="1785" spans="1:4" x14ac:dyDescent="0.2">
      <c r="A1785" s="5">
        <v>1724</v>
      </c>
      <c r="B1785" s="138">
        <f>'Tax Sched 23'!C12</f>
        <v>105</v>
      </c>
      <c r="D1785" s="2" t="str">
        <f t="shared" si="26"/>
        <v>Error?</v>
      </c>
    </row>
    <row r="1786" spans="1:4" x14ac:dyDescent="0.2">
      <c r="A1786" s="5">
        <v>1725</v>
      </c>
      <c r="B1786" s="138">
        <f>'Tax Sched 23'!C14</f>
        <v>88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11187</v>
      </c>
      <c r="C1791" s="2" t="s">
        <v>594</v>
      </c>
      <c r="D1791" s="2" t="str">
        <f t="shared" ref="D1791:D1854" si="27">IF(ISBLANK(B1791),"OK",IF(A1791-B1791=0,"OK","Error?"))</f>
        <v>Error?</v>
      </c>
    </row>
    <row r="1792" spans="1:4" x14ac:dyDescent="0.2">
      <c r="A1792" s="5">
        <v>1731</v>
      </c>
      <c r="B1792" s="138">
        <f>'Tax Sched 23'!F4</f>
        <v>1602896</v>
      </c>
      <c r="C1792" s="2" t="s">
        <v>594</v>
      </c>
      <c r="D1792" s="2" t="str">
        <f t="shared" si="27"/>
        <v>Error?</v>
      </c>
    </row>
    <row r="1793" spans="1:4" x14ac:dyDescent="0.2">
      <c r="A1793" s="5">
        <v>1732</v>
      </c>
      <c r="B1793" s="138">
        <f>'Tax Sched 23'!F5</f>
        <v>187737</v>
      </c>
      <c r="C1793" s="2" t="s">
        <v>594</v>
      </c>
      <c r="D1793" s="2" t="str">
        <f t="shared" si="27"/>
        <v>Error?</v>
      </c>
    </row>
    <row r="1794" spans="1:4" x14ac:dyDescent="0.2">
      <c r="A1794" s="5">
        <v>1733</v>
      </c>
      <c r="B1794" s="138">
        <f>'Tax Sched 23'!F6</f>
        <v>620736</v>
      </c>
      <c r="C1794" s="2" t="s">
        <v>594</v>
      </c>
      <c r="D1794" s="2" t="str">
        <f t="shared" si="27"/>
        <v>Error?</v>
      </c>
    </row>
    <row r="1795" spans="1:4" x14ac:dyDescent="0.2">
      <c r="A1795" s="5">
        <v>1734</v>
      </c>
      <c r="B1795" s="138">
        <f>'Tax Sched 23'!F7</f>
        <v>115204</v>
      </c>
      <c r="C1795" s="2" t="s">
        <v>594</v>
      </c>
      <c r="D1795" s="2" t="str">
        <f t="shared" si="27"/>
        <v>Error?</v>
      </c>
    </row>
    <row r="1796" spans="1:4" x14ac:dyDescent="0.2">
      <c r="A1796" s="5">
        <v>1735</v>
      </c>
      <c r="B1796" s="138">
        <f>'Tax Sched 23'!F8</f>
        <v>83288</v>
      </c>
      <c r="C1796" s="2" t="s">
        <v>594</v>
      </c>
      <c r="D1796" s="2" t="str">
        <f t="shared" si="27"/>
        <v>Error?</v>
      </c>
    </row>
    <row r="1797" spans="1:4" x14ac:dyDescent="0.2">
      <c r="A1797" s="5">
        <v>1736</v>
      </c>
      <c r="B1797" s="138">
        <f>'Tax Sched 23'!F10</f>
        <v>18638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119108</v>
      </c>
      <c r="C1800" s="2" t="s">
        <v>594</v>
      </c>
      <c r="D1800" s="2" t="str">
        <f t="shared" si="27"/>
        <v>Error?</v>
      </c>
    </row>
    <row r="1801" spans="1:4" x14ac:dyDescent="0.2">
      <c r="A1801" s="5">
        <v>1740</v>
      </c>
      <c r="B1801" s="138">
        <f>'Tax Sched 23'!F12</f>
        <v>27581</v>
      </c>
      <c r="C1801" s="2" t="s">
        <v>594</v>
      </c>
      <c r="D1801" s="2" t="str">
        <f t="shared" si="27"/>
        <v>Error?</v>
      </c>
    </row>
    <row r="1802" spans="1:4" x14ac:dyDescent="0.2">
      <c r="A1802" s="5">
        <v>1741</v>
      </c>
      <c r="B1802" s="138">
        <f>'Tax Sched 23'!F14</f>
        <v>23064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2936606</v>
      </c>
      <c r="C1807" s="2" t="s">
        <v>594</v>
      </c>
      <c r="D1807" s="2" t="str">
        <f t="shared" si="27"/>
        <v>Error?</v>
      </c>
    </row>
    <row r="1808" spans="1:4" x14ac:dyDescent="0.2">
      <c r="A1808" s="5">
        <v>1747</v>
      </c>
      <c r="B1808" s="138">
        <f>'Tax Sched 23'!E4</f>
        <v>1608999</v>
      </c>
      <c r="D1808" s="2" t="str">
        <f t="shared" si="27"/>
        <v>Error?</v>
      </c>
    </row>
    <row r="1809" spans="1:4" x14ac:dyDescent="0.2">
      <c r="A1809" s="5">
        <v>1748</v>
      </c>
      <c r="B1809" s="138">
        <f>'Tax Sched 23'!E5</f>
        <v>188452</v>
      </c>
      <c r="D1809" s="2" t="str">
        <f t="shared" si="27"/>
        <v>Error?</v>
      </c>
    </row>
    <row r="1810" spans="1:4" x14ac:dyDescent="0.2">
      <c r="A1810" s="5">
        <v>1749</v>
      </c>
      <c r="B1810" s="138">
        <f>'Tax Sched 23'!E6</f>
        <v>623104</v>
      </c>
      <c r="D1810" s="2" t="str">
        <f t="shared" si="27"/>
        <v>Error?</v>
      </c>
    </row>
    <row r="1811" spans="1:4" x14ac:dyDescent="0.2">
      <c r="A1811" s="5">
        <v>1750</v>
      </c>
      <c r="B1811" s="138">
        <f>'Tax Sched 23'!E7</f>
        <v>115643</v>
      </c>
      <c r="D1811" s="2" t="str">
        <f t="shared" si="27"/>
        <v>Error?</v>
      </c>
    </row>
    <row r="1812" spans="1:4" x14ac:dyDescent="0.2">
      <c r="A1812" s="5">
        <v>1751</v>
      </c>
      <c r="B1812" s="138">
        <f>'Tax Sched 23'!E8</f>
        <v>83605</v>
      </c>
      <c r="D1812" s="2" t="str">
        <f t="shared" si="27"/>
        <v>Error?</v>
      </c>
    </row>
    <row r="1813" spans="1:4" x14ac:dyDescent="0.2">
      <c r="A1813" s="5">
        <v>1752</v>
      </c>
      <c r="B1813" s="138">
        <f>'Tax Sched 23'!E10</f>
        <v>18709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119562</v>
      </c>
      <c r="D1816" s="2" t="str">
        <f t="shared" si="27"/>
        <v>Error?</v>
      </c>
    </row>
    <row r="1817" spans="1:4" x14ac:dyDescent="0.2">
      <c r="A1817" s="5">
        <v>1756</v>
      </c>
      <c r="B1817" s="138">
        <f>'Tax Sched 23'!E12</f>
        <v>27686</v>
      </c>
      <c r="D1817" s="2" t="str">
        <f t="shared" si="27"/>
        <v>Error?</v>
      </c>
    </row>
    <row r="1818" spans="1:4" x14ac:dyDescent="0.2">
      <c r="A1818" s="5">
        <v>1757</v>
      </c>
      <c r="B1818" s="138">
        <f>'Tax Sched 23'!E14</f>
        <v>23152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2947793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645311</v>
      </c>
      <c r="C1939" s="2" t="s">
        <v>594</v>
      </c>
      <c r="D1939" s="2" t="str">
        <f t="shared" si="29"/>
        <v>Error?</v>
      </c>
    </row>
    <row r="1940" spans="1:5" x14ac:dyDescent="0.2">
      <c r="A1940" s="5">
        <v>1879</v>
      </c>
      <c r="B1940" s="138">
        <f>'Short-Term Long-Term Debt 24'!F49</f>
        <v>53253</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21829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21829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21829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17968</v>
      </c>
      <c r="D2008" s="2" t="str">
        <f t="shared" si="30"/>
        <v>Error?</v>
      </c>
    </row>
    <row r="2009" spans="1:4" x14ac:dyDescent="0.2">
      <c r="A2009" s="5">
        <v>1948</v>
      </c>
      <c r="B2009" s="138">
        <f>'Cap Outlay Deprec 26'!C8</f>
        <v>11143290</v>
      </c>
      <c r="D2009" s="2" t="str">
        <f t="shared" si="30"/>
        <v>Error?</v>
      </c>
    </row>
    <row r="2010" spans="1:4" x14ac:dyDescent="0.2">
      <c r="A2010" s="5">
        <v>1949</v>
      </c>
      <c r="B2010" s="138">
        <f>'Cap Outlay Deprec 26'!C10</f>
        <v>310414</v>
      </c>
      <c r="D2010" s="2" t="str">
        <f t="shared" si="30"/>
        <v>Error?</v>
      </c>
    </row>
    <row r="2011" spans="1:4" x14ac:dyDescent="0.2">
      <c r="A2011" s="5">
        <v>1950</v>
      </c>
      <c r="B2011" s="138">
        <f>'Cap Outlay Deprec 26'!C12</f>
        <v>837157</v>
      </c>
      <c r="D2011" s="2" t="str">
        <f t="shared" si="30"/>
        <v>Error?</v>
      </c>
    </row>
    <row r="2012" spans="1:4" x14ac:dyDescent="0.2">
      <c r="A2012" s="5">
        <v>1951</v>
      </c>
      <c r="B2012" s="138">
        <f>'Cap Outlay Deprec 26'!C13</f>
        <v>100546</v>
      </c>
      <c r="D2012" s="2" t="str">
        <f t="shared" si="30"/>
        <v>Error?</v>
      </c>
    </row>
    <row r="2013" spans="1:4" x14ac:dyDescent="0.2">
      <c r="A2013" s="5">
        <v>1952</v>
      </c>
      <c r="B2013" s="138">
        <f>'Cap Outlay Deprec 26'!C16</f>
        <v>12409375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4645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151476</v>
      </c>
      <c r="D2017" s="2" t="str">
        <f t="shared" si="30"/>
        <v>Error?</v>
      </c>
    </row>
    <row r="2018" spans="1:4" x14ac:dyDescent="0.2">
      <c r="A2018" s="5">
        <v>1957</v>
      </c>
      <c r="B2018" s="138">
        <f>'Cap Outlay Deprec 26'!D13</f>
        <v>29377</v>
      </c>
      <c r="D2018" s="2" t="str">
        <f t="shared" si="30"/>
        <v>Error?</v>
      </c>
    </row>
    <row r="2019" spans="1:4" x14ac:dyDescent="0.2">
      <c r="A2019" s="5">
        <v>1958</v>
      </c>
      <c r="B2019" s="138">
        <f>'Cap Outlay Deprec 26'!D16</f>
        <v>185498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87512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87512</v>
      </c>
      <c r="C2025" s="2" t="s">
        <v>594</v>
      </c>
      <c r="D2025" s="2" t="str">
        <f t="shared" si="30"/>
        <v>Error?</v>
      </c>
    </row>
    <row r="2026" spans="1:4" x14ac:dyDescent="0.2">
      <c r="A2026" s="5">
        <v>1965</v>
      </c>
      <c r="B2026" s="138">
        <f>'Cap Outlay Deprec 26'!F5</f>
        <v>17968</v>
      </c>
      <c r="C2026" s="2" t="s">
        <v>594</v>
      </c>
      <c r="D2026" s="2" t="str">
        <f t="shared" si="30"/>
        <v>Error?</v>
      </c>
    </row>
    <row r="2027" spans="1:4" x14ac:dyDescent="0.2">
      <c r="A2027" s="5">
        <v>1966</v>
      </c>
      <c r="B2027" s="138">
        <f>'Cap Outlay Deprec 26'!F8</f>
        <v>11147935</v>
      </c>
      <c r="C2027" s="2" t="s">
        <v>594</v>
      </c>
      <c r="D2027" s="2" t="str">
        <f t="shared" si="30"/>
        <v>Error?</v>
      </c>
    </row>
    <row r="2028" spans="1:4" x14ac:dyDescent="0.2">
      <c r="A2028" s="5">
        <v>1967</v>
      </c>
      <c r="B2028" s="138">
        <f>'Cap Outlay Deprec 26'!F10</f>
        <v>310414</v>
      </c>
      <c r="C2028" s="2" t="s">
        <v>594</v>
      </c>
      <c r="D2028" s="2" t="str">
        <f t="shared" si="30"/>
        <v>Error?</v>
      </c>
    </row>
    <row r="2029" spans="1:4" x14ac:dyDescent="0.2">
      <c r="A2029" s="5">
        <v>1968</v>
      </c>
      <c r="B2029" s="138">
        <f>'Cap Outlay Deprec 26'!F12</f>
        <v>901121</v>
      </c>
      <c r="C2029" s="2" t="s">
        <v>594</v>
      </c>
      <c r="D2029" s="2" t="str">
        <f t="shared" si="30"/>
        <v>Error?</v>
      </c>
    </row>
    <row r="2030" spans="1:4" x14ac:dyDescent="0.2">
      <c r="A2030" s="5">
        <v>1969</v>
      </c>
      <c r="B2030" s="138">
        <f>'Cap Outlay Deprec 26'!F13</f>
        <v>129923</v>
      </c>
      <c r="C2030" s="2" t="s">
        <v>594</v>
      </c>
      <c r="D2030" s="2" t="str">
        <f t="shared" si="30"/>
        <v>Error?</v>
      </c>
    </row>
    <row r="2031" spans="1:4" x14ac:dyDescent="0.2">
      <c r="A2031" s="5">
        <v>1970</v>
      </c>
      <c r="B2031" s="138">
        <f>'Cap Outlay Deprec 26'!F16</f>
        <v>12507361</v>
      </c>
      <c r="C2031" s="2" t="s">
        <v>594</v>
      </c>
      <c r="D2031" s="2" t="str">
        <f t="shared" si="30"/>
        <v>Error?</v>
      </c>
    </row>
    <row r="2032" spans="1:4" x14ac:dyDescent="0.2">
      <c r="A2032" s="10">
        <v>1971</v>
      </c>
      <c r="D2032" s="2" t="str">
        <f t="shared" si="30"/>
        <v>OK</v>
      </c>
    </row>
    <row r="2033" spans="1:4" x14ac:dyDescent="0.2">
      <c r="A2033" s="5">
        <v>1972</v>
      </c>
      <c r="B2033" s="138">
        <f>'Cap Outlay Deprec 26'!H8</f>
        <v>4437620</v>
      </c>
      <c r="D2033" s="2" t="str">
        <f t="shared" si="30"/>
        <v>Error?</v>
      </c>
    </row>
    <row r="2034" spans="1:4" x14ac:dyDescent="0.2">
      <c r="A2034" s="5">
        <v>1973</v>
      </c>
      <c r="B2034" s="138">
        <f>'Cap Outlay Deprec 26'!H10</f>
        <v>202571</v>
      </c>
      <c r="D2034" s="2" t="str">
        <f t="shared" si="30"/>
        <v>Error?</v>
      </c>
    </row>
    <row r="2035" spans="1:4" x14ac:dyDescent="0.2">
      <c r="A2035" s="5">
        <v>1974</v>
      </c>
      <c r="B2035" s="138">
        <f>'Cap Outlay Deprec 26'!H12</f>
        <v>422634</v>
      </c>
      <c r="D2035" s="2" t="str">
        <f t="shared" si="30"/>
        <v>Error?</v>
      </c>
    </row>
    <row r="2036" spans="1:4" x14ac:dyDescent="0.2">
      <c r="A2036" s="5">
        <v>1975</v>
      </c>
      <c r="B2036" s="138">
        <f>'Cap Outlay Deprec 26'!H13</f>
        <v>68867</v>
      </c>
      <c r="D2036" s="2" t="str">
        <f t="shared" si="30"/>
        <v>Error?</v>
      </c>
    </row>
    <row r="2037" spans="1:4" x14ac:dyDescent="0.2">
      <c r="A2037" s="5">
        <v>1976</v>
      </c>
      <c r="B2037" s="138">
        <f>'Cap Outlay Deprec 26'!H16</f>
        <v>5131692</v>
      </c>
      <c r="C2037" s="2" t="s">
        <v>594</v>
      </c>
      <c r="D2037" s="2" t="str">
        <f t="shared" si="30"/>
        <v>Error?</v>
      </c>
    </row>
    <row r="2038" spans="1:4" x14ac:dyDescent="0.2">
      <c r="A2038" s="10">
        <v>1977</v>
      </c>
      <c r="D2038" s="2" t="str">
        <f t="shared" si="30"/>
        <v>OK</v>
      </c>
    </row>
    <row r="2039" spans="1:4" x14ac:dyDescent="0.2">
      <c r="A2039" s="5">
        <v>1978</v>
      </c>
      <c r="B2039" s="138">
        <f>'Cap Outlay Deprec 26'!I8</f>
        <v>205155</v>
      </c>
      <c r="D2039" s="2" t="str">
        <f t="shared" si="30"/>
        <v>Error?</v>
      </c>
    </row>
    <row r="2040" spans="1:4" x14ac:dyDescent="0.2">
      <c r="A2040" s="5">
        <v>1979</v>
      </c>
      <c r="B2040" s="138">
        <f>'Cap Outlay Deprec 26'!I10</f>
        <v>15067</v>
      </c>
      <c r="D2040" s="2" t="str">
        <f t="shared" si="30"/>
        <v>Error?</v>
      </c>
    </row>
    <row r="2041" spans="1:4" x14ac:dyDescent="0.2">
      <c r="A2041" s="5">
        <v>1980</v>
      </c>
      <c r="B2041" s="138">
        <f>'Cap Outlay Deprec 26'!I12</f>
        <v>79590</v>
      </c>
      <c r="D2041" s="2" t="str">
        <f t="shared" si="30"/>
        <v>Error?</v>
      </c>
    </row>
    <row r="2042" spans="1:4" x14ac:dyDescent="0.2">
      <c r="A2042" s="5">
        <v>1981</v>
      </c>
      <c r="B2042" s="138">
        <f>'Cap Outlay Deprec 26'!I13</f>
        <v>14874</v>
      </c>
      <c r="D2042" s="2" t="str">
        <f t="shared" si="30"/>
        <v>Error?</v>
      </c>
    </row>
    <row r="2043" spans="1:4" x14ac:dyDescent="0.2">
      <c r="A2043" s="5">
        <v>1982</v>
      </c>
      <c r="B2043" s="138">
        <f>'Cap Outlay Deprec 26'!I16</f>
        <v>314686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87512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87512</v>
      </c>
      <c r="C2049" s="2" t="s">
        <v>594</v>
      </c>
      <c r="D2049" s="2" t="str">
        <f t="shared" si="31"/>
        <v>Error?</v>
      </c>
    </row>
    <row r="2050" spans="1:4" x14ac:dyDescent="0.2">
      <c r="A2050" s="10">
        <v>1989</v>
      </c>
      <c r="D2050" s="2" t="str">
        <f t="shared" si="31"/>
        <v>OK</v>
      </c>
    </row>
    <row r="2051" spans="1:4" x14ac:dyDescent="0.2">
      <c r="A2051" s="5">
        <v>1990</v>
      </c>
      <c r="B2051" s="138">
        <f>'Cap Outlay Deprec 26'!K8</f>
        <v>4642775</v>
      </c>
      <c r="C2051" s="2" t="s">
        <v>594</v>
      </c>
      <c r="D2051" s="2" t="str">
        <f t="shared" si="31"/>
        <v>Error?</v>
      </c>
    </row>
    <row r="2052" spans="1:4" x14ac:dyDescent="0.2">
      <c r="A2052" s="5">
        <v>1991</v>
      </c>
      <c r="B2052" s="138">
        <f>'Cap Outlay Deprec 26'!K10</f>
        <v>217638</v>
      </c>
      <c r="C2052" s="2" t="s">
        <v>594</v>
      </c>
      <c r="D2052" s="2" t="str">
        <f t="shared" si="31"/>
        <v>Error?</v>
      </c>
    </row>
    <row r="2053" spans="1:4" x14ac:dyDescent="0.2">
      <c r="A2053" s="5">
        <v>1992</v>
      </c>
      <c r="B2053" s="138">
        <f>'Cap Outlay Deprec 26'!K12</f>
        <v>414712</v>
      </c>
      <c r="C2053" s="2" t="s">
        <v>594</v>
      </c>
      <c r="D2053" s="2" t="str">
        <f t="shared" si="31"/>
        <v>Error?</v>
      </c>
    </row>
    <row r="2054" spans="1:4" x14ac:dyDescent="0.2">
      <c r="A2054" s="5">
        <v>1993</v>
      </c>
      <c r="B2054" s="138">
        <f>'Cap Outlay Deprec 26'!K13</f>
        <v>83741</v>
      </c>
      <c r="C2054" s="2" t="s">
        <v>594</v>
      </c>
      <c r="D2054" s="2" t="str">
        <f t="shared" si="31"/>
        <v>Error?</v>
      </c>
    </row>
    <row r="2055" spans="1:4" x14ac:dyDescent="0.2">
      <c r="A2055" s="5">
        <v>1994</v>
      </c>
      <c r="B2055" s="138">
        <f>'Cap Outlay Deprec 26'!K16</f>
        <v>5358866</v>
      </c>
      <c r="C2055" s="2" t="s">
        <v>594</v>
      </c>
      <c r="D2055" s="2" t="str">
        <f t="shared" si="31"/>
        <v>Error?</v>
      </c>
    </row>
    <row r="2056" spans="1:4" x14ac:dyDescent="0.2">
      <c r="A2056" s="5">
        <v>1995</v>
      </c>
      <c r="B2056" s="138">
        <f>'Cap Outlay Deprec 26'!L5</f>
        <v>17968</v>
      </c>
      <c r="C2056" s="2" t="s">
        <v>594</v>
      </c>
      <c r="D2056" s="2" t="str">
        <f t="shared" si="31"/>
        <v>Error?</v>
      </c>
    </row>
    <row r="2057" spans="1:4" x14ac:dyDescent="0.2">
      <c r="A2057" s="5">
        <v>1996</v>
      </c>
      <c r="B2057" s="138">
        <f>'Cap Outlay Deprec 26'!L8</f>
        <v>6505160</v>
      </c>
      <c r="C2057" s="2" t="s">
        <v>594</v>
      </c>
      <c r="D2057" s="2" t="str">
        <f t="shared" si="31"/>
        <v>Error?</v>
      </c>
    </row>
    <row r="2058" spans="1:4" x14ac:dyDescent="0.2">
      <c r="A2058" s="5">
        <v>1997</v>
      </c>
      <c r="B2058" s="138">
        <f>'Cap Outlay Deprec 26'!L10</f>
        <v>92776</v>
      </c>
      <c r="C2058" s="2" t="s">
        <v>594</v>
      </c>
      <c r="D2058" s="2" t="str">
        <f t="shared" si="31"/>
        <v>Error?</v>
      </c>
    </row>
    <row r="2059" spans="1:4" x14ac:dyDescent="0.2">
      <c r="A2059" s="5">
        <v>1998</v>
      </c>
      <c r="B2059" s="138">
        <f>'Cap Outlay Deprec 26'!L12</f>
        <v>486409</v>
      </c>
      <c r="C2059" s="2" t="s">
        <v>594</v>
      </c>
      <c r="D2059" s="2" t="str">
        <f t="shared" si="31"/>
        <v>Error?</v>
      </c>
    </row>
    <row r="2060" spans="1:4" x14ac:dyDescent="0.2">
      <c r="A2060" s="5">
        <v>1999</v>
      </c>
      <c r="B2060" s="138">
        <f>'Cap Outlay Deprec 26'!L13</f>
        <v>46182</v>
      </c>
      <c r="C2060" s="2" t="s">
        <v>594</v>
      </c>
      <c r="D2060" s="2" t="str">
        <f t="shared" si="31"/>
        <v>Error?</v>
      </c>
    </row>
    <row r="2061" spans="1:4" x14ac:dyDescent="0.2">
      <c r="A2061" s="5">
        <v>2000</v>
      </c>
      <c r="B2061" s="138">
        <f>'Cap Outlay Deprec 26'!L16</f>
        <v>7148495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1885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174892</v>
      </c>
      <c r="C2088" s="2" t="s">
        <v>594</v>
      </c>
      <c r="D2088" s="2" t="str">
        <f t="shared" si="31"/>
        <v>Error?</v>
      </c>
    </row>
    <row r="2089" spans="1:4" x14ac:dyDescent="0.2">
      <c r="A2089" s="5">
        <v>2028</v>
      </c>
      <c r="B2089" s="138">
        <f>'Expenditures 15-22'!K92</f>
        <v>10349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3649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19425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3506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1930374</v>
      </c>
      <c r="C2551" s="2" t="s">
        <v>594</v>
      </c>
      <c r="D2551" s="2" t="str">
        <f t="shared" si="38"/>
        <v>Error?</v>
      </c>
    </row>
    <row r="2552" spans="1:4" x14ac:dyDescent="0.2">
      <c r="A2552" s="10">
        <v>2491</v>
      </c>
      <c r="D2552" s="2" t="str">
        <f t="shared" si="38"/>
        <v>OK</v>
      </c>
    </row>
    <row r="2553" spans="1:4" x14ac:dyDescent="0.2">
      <c r="A2553" s="5">
        <v>2492</v>
      </c>
      <c r="B2553" s="138">
        <f>'Acct Summary 7-8'!C6</f>
        <v>1843349</v>
      </c>
      <c r="C2553" s="2" t="s">
        <v>594</v>
      </c>
      <c r="D2553" s="2" t="str">
        <f t="shared" si="38"/>
        <v>Error?</v>
      </c>
    </row>
    <row r="2554" spans="1:4" x14ac:dyDescent="0.2">
      <c r="A2554" s="5">
        <v>2493</v>
      </c>
      <c r="B2554" s="138">
        <f>'Acct Summary 7-8'!C7</f>
        <v>400191</v>
      </c>
      <c r="C2554" s="2" t="s">
        <v>594</v>
      </c>
      <c r="D2554" s="2" t="str">
        <f t="shared" si="38"/>
        <v>Error?</v>
      </c>
    </row>
    <row r="2555" spans="1:4" x14ac:dyDescent="0.2">
      <c r="A2555" s="5">
        <v>2494</v>
      </c>
      <c r="B2555" s="138">
        <f>'Acct Summary 7-8'!C8</f>
        <v>4173914</v>
      </c>
      <c r="C2555" s="2" t="s">
        <v>594</v>
      </c>
      <c r="D2555" s="2" t="str">
        <f t="shared" si="38"/>
        <v>Error?</v>
      </c>
    </row>
    <row r="2556" spans="1:4" x14ac:dyDescent="0.2">
      <c r="A2556" s="5">
        <v>2495</v>
      </c>
      <c r="B2556" s="138">
        <f>'Acct Summary 7-8'!C12</f>
        <v>2934593</v>
      </c>
      <c r="C2556" s="2" t="s">
        <v>594</v>
      </c>
      <c r="D2556" s="2" t="str">
        <f t="shared" si="38"/>
        <v>Error?</v>
      </c>
    </row>
    <row r="2557" spans="1:4" x14ac:dyDescent="0.2">
      <c r="A2557" s="5">
        <v>2496</v>
      </c>
      <c r="B2557" s="138">
        <f>'Acct Summary 7-8'!C13</f>
        <v>1001196</v>
      </c>
      <c r="C2557" s="2" t="s">
        <v>594</v>
      </c>
      <c r="D2557" s="2" t="str">
        <f t="shared" si="38"/>
        <v>Error?</v>
      </c>
    </row>
    <row r="2558" spans="1:4" x14ac:dyDescent="0.2">
      <c r="A2558" s="5">
        <v>2497</v>
      </c>
      <c r="B2558" s="138">
        <f>'Acct Summary 7-8'!C14</f>
        <v>115236</v>
      </c>
      <c r="C2558" s="2" t="s">
        <v>594</v>
      </c>
      <c r="D2558" s="2" t="str">
        <f t="shared" si="38"/>
        <v>Error?</v>
      </c>
    </row>
    <row r="2559" spans="1:4" x14ac:dyDescent="0.2">
      <c r="A2559" s="5">
        <v>2498</v>
      </c>
      <c r="B2559" s="138">
        <f>'Acct Summary 7-8'!C15</f>
        <v>245652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4296677</v>
      </c>
      <c r="C2561" s="2" t="s">
        <v>594</v>
      </c>
      <c r="D2561" s="2" t="str">
        <f t="shared" si="39"/>
        <v>Error?</v>
      </c>
    </row>
    <row r="2562" spans="1:4" x14ac:dyDescent="0.2">
      <c r="A2562" s="5">
        <v>2501</v>
      </c>
      <c r="B2562" s="138">
        <f>'Acct Summary 7-8'!C20</f>
        <v>-122763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357753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357753</v>
      </c>
      <c r="C2568" s="2" t="s">
        <v>594</v>
      </c>
      <c r="D2568" s="2" t="str">
        <f t="shared" si="39"/>
        <v>Error?</v>
      </c>
    </row>
    <row r="2569" spans="1:4" x14ac:dyDescent="0.2">
      <c r="A2569" s="5">
        <v>2508</v>
      </c>
      <c r="B2569" s="138">
        <f>'Acct Summary 7-8'!D13</f>
        <v>407115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407115</v>
      </c>
      <c r="C2573" s="2" t="s">
        <v>594</v>
      </c>
      <c r="D2573" s="2" t="str">
        <f t="shared" si="39"/>
        <v>Error?</v>
      </c>
    </row>
    <row r="2574" spans="1:4" x14ac:dyDescent="0.2">
      <c r="A2574" s="5">
        <v>2513</v>
      </c>
      <c r="B2574" s="138">
        <f>'Acct Summary 7-8'!D20</f>
        <v>-49362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115847</v>
      </c>
      <c r="C2591" s="2" t="s">
        <v>594</v>
      </c>
      <c r="D2591" s="2" t="str">
        <f t="shared" si="39"/>
        <v>Error?</v>
      </c>
    </row>
    <row r="2592" spans="1:4" x14ac:dyDescent="0.2">
      <c r="A2592" s="10">
        <v>2531</v>
      </c>
      <c r="D2592" s="2" t="str">
        <f t="shared" si="39"/>
        <v>OK</v>
      </c>
    </row>
    <row r="2593" spans="1:4" x14ac:dyDescent="0.2">
      <c r="A2593" s="5">
        <v>2532</v>
      </c>
      <c r="B2593" s="138">
        <f>'Acct Summary 7-8'!F6</f>
        <v>162998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278845</v>
      </c>
      <c r="C2595" s="2" t="s">
        <v>594</v>
      </c>
      <c r="D2595" s="2" t="str">
        <f t="shared" si="39"/>
        <v>Error?</v>
      </c>
    </row>
    <row r="2596" spans="1:4" x14ac:dyDescent="0.2">
      <c r="A2596" s="5">
        <v>2535</v>
      </c>
      <c r="B2596" s="138">
        <f>'Acct Summary 7-8'!F13</f>
        <v>276641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276641</v>
      </c>
      <c r="C2600" s="2" t="s">
        <v>594</v>
      </c>
      <c r="D2600" s="2" t="str">
        <f t="shared" si="39"/>
        <v>Error?</v>
      </c>
    </row>
    <row r="2601" spans="1:4" x14ac:dyDescent="0.2">
      <c r="A2601" s="5">
        <v>2540</v>
      </c>
      <c r="B2601" s="138">
        <f>'Acct Summary 7-8'!F20</f>
        <v>2204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188821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188821</v>
      </c>
      <c r="C2606" s="2" t="s">
        <v>594</v>
      </c>
      <c r="D2606" s="2" t="str">
        <f t="shared" si="39"/>
        <v>Error?</v>
      </c>
    </row>
    <row r="2607" spans="1:4" x14ac:dyDescent="0.2">
      <c r="A2607" s="5">
        <v>2546</v>
      </c>
      <c r="B2607" s="138">
        <f>'Acct Summary 7-8'!G12</f>
        <v>69555</v>
      </c>
      <c r="C2607" s="2" t="s">
        <v>594</v>
      </c>
      <c r="D2607" s="2" t="str">
        <f t="shared" si="39"/>
        <v>Error?</v>
      </c>
    </row>
    <row r="2608" spans="1:4" x14ac:dyDescent="0.2">
      <c r="A2608" s="5">
        <v>2547</v>
      </c>
      <c r="B2608" s="138">
        <f>'Acct Summary 7-8'!G13</f>
        <v>82999</v>
      </c>
      <c r="C2608" s="2" t="s">
        <v>594</v>
      </c>
      <c r="D2608" s="2" t="str">
        <f t="shared" si="39"/>
        <v>Error?</v>
      </c>
    </row>
    <row r="2609" spans="1:4" x14ac:dyDescent="0.2">
      <c r="A2609" s="5">
        <v>2548</v>
      </c>
      <c r="B2609" s="138">
        <f>'Acct Summary 7-8'!G14</f>
        <v>19005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171559</v>
      </c>
      <c r="C2612" s="2" t="s">
        <v>594</v>
      </c>
      <c r="D2612" s="2" t="str">
        <f t="shared" si="39"/>
        <v>Error?</v>
      </c>
    </row>
    <row r="2613" spans="1:4" x14ac:dyDescent="0.2">
      <c r="A2613" s="5">
        <v>2552</v>
      </c>
      <c r="B2613" s="138">
        <f>'Acct Summary 7-8'!G20</f>
        <v>17262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601219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601219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634091</v>
      </c>
      <c r="C2634" s="2" t="s">
        <v>594</v>
      </c>
      <c r="D2634" s="2" t="str">
        <f t="shared" si="40"/>
        <v>Error?</v>
      </c>
    </row>
    <row r="2635" spans="1:4" x14ac:dyDescent="0.2">
      <c r="A2635" s="5">
        <v>2574</v>
      </c>
      <c r="B2635" s="138">
        <f>'Acct Summary 7-8'!E17</f>
        <v>634091</v>
      </c>
      <c r="C2635" s="2" t="s">
        <v>594</v>
      </c>
      <c r="D2635" s="2" t="str">
        <f t="shared" si="40"/>
        <v>Error?</v>
      </c>
    </row>
    <row r="2636" spans="1:4" x14ac:dyDescent="0.2">
      <c r="A2636" s="5">
        <v>2575</v>
      </c>
      <c r="B2636" s="138">
        <f>'Acct Summary 7-8'!E20</f>
        <v>-32872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2733</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173007</v>
      </c>
      <c r="C2789" s="2" t="s">
        <v>594</v>
      </c>
      <c r="D2789" s="2" t="str">
        <f t="shared" si="42"/>
        <v>Error?</v>
      </c>
    </row>
    <row r="2790" spans="1:4" x14ac:dyDescent="0.2">
      <c r="A2790" s="5">
        <v>2729</v>
      </c>
      <c r="B2790" s="138">
        <f>'Expenditures 15-22'!E102</f>
        <v>173007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2733</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234229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89975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234229</v>
      </c>
      <c r="D2912" s="2" t="str">
        <f t="shared" si="44"/>
        <v>Error?</v>
      </c>
    </row>
    <row r="2913" spans="1:4" x14ac:dyDescent="0.2">
      <c r="A2913" s="5">
        <v>2852</v>
      </c>
      <c r="B2913" s="138">
        <f>'Assets-Liab 5-6'!I41</f>
        <v>234229</v>
      </c>
      <c r="C2913" s="2" t="s">
        <v>594</v>
      </c>
      <c r="D2913" s="2" t="str">
        <f t="shared" si="44"/>
        <v>Error?</v>
      </c>
    </row>
    <row r="2914" spans="1:4" x14ac:dyDescent="0.2">
      <c r="A2914" s="5">
        <v>2853</v>
      </c>
      <c r="B2914" s="138">
        <f>'Assets-Liab 5-6'!L33</f>
        <v>89975</v>
      </c>
      <c r="D2914" s="2" t="str">
        <f t="shared" si="44"/>
        <v>Error?</v>
      </c>
    </row>
    <row r="2915" spans="1:4" x14ac:dyDescent="0.2">
      <c r="A2915" s="10">
        <v>2854</v>
      </c>
      <c r="D2915" s="2" t="str">
        <f t="shared" si="44"/>
        <v>OK</v>
      </c>
    </row>
    <row r="2916" spans="1:4" x14ac:dyDescent="0.2">
      <c r="A2916" s="5">
        <v>2855</v>
      </c>
      <c r="B2916" s="138">
        <f>'Assets-Liab 5-6'!L34</f>
        <v>89975</v>
      </c>
      <c r="C2916" s="2" t="s">
        <v>594</v>
      </c>
      <c r="D2916" s="2" t="str">
        <f t="shared" si="44"/>
        <v>Error?</v>
      </c>
    </row>
    <row r="2917" spans="1:4" x14ac:dyDescent="0.2">
      <c r="A2917" s="5">
        <v>2856</v>
      </c>
      <c r="B2917" s="138">
        <f>'Assets-Liab 5-6'!L41</f>
        <v>89975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173007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1885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173007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1885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71605</v>
      </c>
      <c r="D3055" s="2" t="str">
        <f t="shared" si="46"/>
        <v>Error?</v>
      </c>
    </row>
    <row r="3056" spans="1:4" x14ac:dyDescent="0.2">
      <c r="A3056" s="5">
        <v>2995</v>
      </c>
      <c r="B3056" s="138">
        <f>'Expenditures 15-22'!D10</f>
        <v>19058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2895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93558</v>
      </c>
      <c r="C3062" s="2" t="s">
        <v>594</v>
      </c>
      <c r="D3062" s="2" t="str">
        <f t="shared" si="46"/>
        <v>Error?</v>
      </c>
    </row>
    <row r="3063" spans="1:4" x14ac:dyDescent="0.2">
      <c r="A3063" s="10">
        <v>3002</v>
      </c>
      <c r="D3063" s="2" t="str">
        <f t="shared" si="46"/>
        <v>OK</v>
      </c>
    </row>
    <row r="3064" spans="1:4" x14ac:dyDescent="0.2">
      <c r="A3064" s="5">
        <v>3003</v>
      </c>
      <c r="B3064" s="138">
        <f>'Expenditures 15-22'!D219</f>
        <v>3318</v>
      </c>
      <c r="D3064" s="2" t="str">
        <f t="shared" si="46"/>
        <v>Error?</v>
      </c>
    </row>
    <row r="3065" spans="1:4" x14ac:dyDescent="0.2">
      <c r="A3065" s="5">
        <v>3004</v>
      </c>
      <c r="B3065" s="138">
        <f>'Expenditures 15-22'!K219</f>
        <v>3318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21287</v>
      </c>
      <c r="C3225" s="2" t="s">
        <v>594</v>
      </c>
      <c r="D3225" s="2" t="str">
        <f t="shared" si="49"/>
        <v>Error?</v>
      </c>
    </row>
    <row r="3226" spans="1:4" x14ac:dyDescent="0.2">
      <c r="A3226" s="5">
        <v>3165</v>
      </c>
      <c r="B3226" s="138">
        <f>'Acct Summary 7-8'!I8</f>
        <v>21287</v>
      </c>
      <c r="C3226" s="2" t="s">
        <v>594</v>
      </c>
      <c r="D3226" s="2" t="str">
        <f t="shared" si="49"/>
        <v>Error?</v>
      </c>
    </row>
    <row r="3227" spans="1:4" x14ac:dyDescent="0.2">
      <c r="A3227" s="5">
        <v>3166</v>
      </c>
      <c r="B3227" s="138">
        <f>'Acct Summary 7-8'!I20</f>
        <v>21287</v>
      </c>
      <c r="C3227" s="2" t="s">
        <v>594</v>
      </c>
      <c r="D3227" s="2" t="str">
        <f t="shared" si="49"/>
        <v>Error?</v>
      </c>
    </row>
    <row r="3228" spans="1:4" x14ac:dyDescent="0.2">
      <c r="A3228" s="5">
        <v>3167</v>
      </c>
      <c r="B3228" s="138">
        <f>'Acct Summary 7-8'!C43</f>
        <v>53253</v>
      </c>
      <c r="D3228" s="2" t="str">
        <f t="shared" si="49"/>
        <v>Error?</v>
      </c>
    </row>
    <row r="3229" spans="1:4" x14ac:dyDescent="0.2">
      <c r="A3229" s="5">
        <v>3168</v>
      </c>
      <c r="B3229" s="138">
        <f>'Acct Summary 7-8'!C44</f>
        <v>160715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39091</v>
      </c>
      <c r="C3231" s="2" t="s">
        <v>594</v>
      </c>
      <c r="D3231" s="2" t="str">
        <f t="shared" si="49"/>
        <v>Error?</v>
      </c>
    </row>
    <row r="3232" spans="1:4" x14ac:dyDescent="0.2">
      <c r="A3232" s="5">
        <v>3171</v>
      </c>
      <c r="B3232" s="138">
        <f>'Acct Summary 7-8'!C77</f>
        <v>121624</v>
      </c>
      <c r="C3232" s="2" t="s">
        <v>594</v>
      </c>
      <c r="D3232" s="2" t="str">
        <f t="shared" si="49"/>
        <v>Error?</v>
      </c>
    </row>
    <row r="3233" spans="1:4" x14ac:dyDescent="0.2">
      <c r="A3233" s="5">
        <v>3172</v>
      </c>
      <c r="B3233" s="138">
        <f>'Acct Summary 7-8'!C78</f>
        <v>-1139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-49362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2204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17262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39091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2733</v>
      </c>
      <c r="C3276" s="2" t="s">
        <v>594</v>
      </c>
      <c r="D3276" s="2" t="str">
        <f t="shared" si="50"/>
        <v>Error?</v>
      </c>
    </row>
    <row r="3277" spans="1:4" x14ac:dyDescent="0.2">
      <c r="A3277" s="5">
        <v>3216</v>
      </c>
      <c r="B3277" s="138">
        <f>'Acct Summary 7-8'!E77</f>
        <v>36358</v>
      </c>
      <c r="C3277" s="2" t="s">
        <v>594</v>
      </c>
      <c r="D3277" s="2" t="str">
        <f t="shared" si="50"/>
        <v>Error?</v>
      </c>
    </row>
    <row r="3278" spans="1:4" x14ac:dyDescent="0.2">
      <c r="A3278" s="5">
        <v>3217</v>
      </c>
      <c r="B3278" s="138">
        <f>'Acct Summary 7-8'!E78</f>
        <v>3486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103649</v>
      </c>
      <c r="C3318" s="2" t="s">
        <v>594</v>
      </c>
      <c r="D3318" s="2" t="str">
        <f t="shared" si="50"/>
        <v>Error?</v>
      </c>
    </row>
    <row r="3319" spans="1:4" x14ac:dyDescent="0.2">
      <c r="A3319" s="5">
        <v>3258</v>
      </c>
      <c r="B3319" s="138">
        <f>'Acct Summary 7-8'!I77</f>
        <v>-103649</v>
      </c>
      <c r="C3319" s="2" t="s">
        <v>594</v>
      </c>
      <c r="D3319" s="2" t="str">
        <f t="shared" si="50"/>
        <v>Error?</v>
      </c>
    </row>
    <row r="3320" spans="1:4" x14ac:dyDescent="0.2">
      <c r="A3320" s="5">
        <v>3259</v>
      </c>
      <c r="B3320" s="138">
        <f>'Acct Summary 7-8'!I78</f>
        <v>-82362</v>
      </c>
      <c r="C3320" s="2" t="s">
        <v>594</v>
      </c>
      <c r="D3320" s="2" t="str">
        <f t="shared" si="50"/>
        <v>Error?</v>
      </c>
    </row>
    <row r="3321" spans="1:4" x14ac:dyDescent="0.2">
      <c r="A3321" s="5">
        <v>3260</v>
      </c>
      <c r="B3321" s="138">
        <f>'Acct Summary 7-8'!I79</f>
        <v>316591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234229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290061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43858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3406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338172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29756</v>
      </c>
      <c r="D3387" s="2" t="str">
        <f t="shared" si="51"/>
        <v>Error?</v>
      </c>
    </row>
    <row r="3388" spans="1:4" x14ac:dyDescent="0.2">
      <c r="A3388" s="5">
        <v>3327</v>
      </c>
      <c r="B3388" s="138">
        <f>'Expenditures 15-22'!D217</f>
        <v>27144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29756</v>
      </c>
      <c r="C3390" s="2" t="s">
        <v>594</v>
      </c>
      <c r="D3390" s="2" t="str">
        <f t="shared" si="51"/>
        <v>Error?</v>
      </c>
    </row>
    <row r="3391" spans="1:4" x14ac:dyDescent="0.2">
      <c r="A3391" s="5">
        <v>3330</v>
      </c>
      <c r="B3391" s="138">
        <f>'Expenditures 15-22'!K217</f>
        <v>27144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122559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576406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63207</v>
      </c>
      <c r="D3417" s="2" t="str">
        <f t="shared" si="52"/>
        <v>Error?</v>
      </c>
    </row>
    <row r="3418" spans="1:4" x14ac:dyDescent="0.2">
      <c r="A3418" s="10">
        <v>3357</v>
      </c>
      <c r="D3418" s="2" t="str">
        <f t="shared" si="52"/>
        <v>OK</v>
      </c>
    </row>
    <row r="3419" spans="1:4" x14ac:dyDescent="0.2">
      <c r="A3419" s="5">
        <v>3358</v>
      </c>
      <c r="B3419" s="138">
        <f>'Assets-Liab 5-6'!F4</f>
        <v>284161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41043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3506</v>
      </c>
      <c r="D3425" s="2" t="str">
        <f t="shared" si="52"/>
        <v>Error?</v>
      </c>
    </row>
    <row r="3426" spans="1:4" x14ac:dyDescent="0.2">
      <c r="A3426" s="10">
        <v>3365</v>
      </c>
      <c r="D3426" s="2" t="str">
        <f t="shared" si="52"/>
        <v>OK</v>
      </c>
    </row>
    <row r="3427" spans="1:4" x14ac:dyDescent="0.2">
      <c r="A3427" s="5">
        <v>3366</v>
      </c>
      <c r="B3427" s="138">
        <f>'Assets-Liab 5-6'!I4</f>
        <v>234229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89975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114354</v>
      </c>
      <c r="C3446" s="2" t="s">
        <v>594</v>
      </c>
      <c r="D3446" s="2" t="str">
        <f t="shared" si="52"/>
        <v>Error?</v>
      </c>
    </row>
    <row r="3447" spans="1:4" x14ac:dyDescent="0.2">
      <c r="A3447" s="5">
        <v>3386</v>
      </c>
      <c r="B3447" s="138">
        <f>'Tax Sched 23'!D16</f>
        <v>113937</v>
      </c>
      <c r="C3447" s="2" t="s">
        <v>594</v>
      </c>
      <c r="D3447" s="2" t="str">
        <f t="shared" si="52"/>
        <v>Error?</v>
      </c>
    </row>
    <row r="3448" spans="1:4" x14ac:dyDescent="0.2">
      <c r="A3448" s="5">
        <v>3387</v>
      </c>
      <c r="B3448" s="138">
        <f>'Tax Sched 23'!C16</f>
        <v>417</v>
      </c>
      <c r="D3448" s="2" t="str">
        <f t="shared" si="52"/>
        <v>Error?</v>
      </c>
    </row>
    <row r="3449" spans="1:4" x14ac:dyDescent="0.2">
      <c r="A3449" s="5">
        <v>3388</v>
      </c>
      <c r="B3449" s="138">
        <f>'Tax Sched 23'!F16</f>
        <v>109507</v>
      </c>
      <c r="C3449" s="2" t="s">
        <v>594</v>
      </c>
      <c r="D3449" s="2" t="str">
        <f t="shared" si="52"/>
        <v>Error?</v>
      </c>
    </row>
    <row r="3450" spans="1:4" x14ac:dyDescent="0.2">
      <c r="A3450" s="5">
        <v>3389</v>
      </c>
      <c r="B3450" s="138">
        <f>'Tax Sched 23'!E16</f>
        <v>109924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1080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272299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272299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272299</v>
      </c>
      <c r="D3567" s="2" t="str">
        <f t="shared" si="54"/>
        <v>Error?</v>
      </c>
    </row>
    <row r="3568" spans="1:4" x14ac:dyDescent="0.2">
      <c r="A3568" s="5">
        <v>3507</v>
      </c>
      <c r="B3568" s="138">
        <f>'Assets-Liab 5-6'!K41</f>
        <v>272299</v>
      </c>
      <c r="C3568" s="2" t="s">
        <v>594</v>
      </c>
      <c r="D3568" s="2" t="str">
        <f t="shared" si="54"/>
        <v>Error?</v>
      </c>
    </row>
    <row r="3569" spans="1:4" x14ac:dyDescent="0.2">
      <c r="A3569" s="5">
        <v>3508</v>
      </c>
      <c r="B3569" s="138">
        <f>'Acct Summary 7-8'!K4</f>
        <v>27841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27841</v>
      </c>
      <c r="C3571" s="2" t="s">
        <v>594</v>
      </c>
      <c r="D3571" s="2" t="str">
        <f t="shared" si="54"/>
        <v>Error?</v>
      </c>
    </row>
    <row r="3572" spans="1:4" x14ac:dyDescent="0.2">
      <c r="A3572" s="5">
        <v>3511</v>
      </c>
      <c r="B3572" s="138">
        <f>'Acct Summary 7-8'!K13</f>
        <v>686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686</v>
      </c>
      <c r="C3575" s="2" t="s">
        <v>594</v>
      </c>
      <c r="D3575" s="2" t="str">
        <f t="shared" si="54"/>
        <v>Error?</v>
      </c>
    </row>
    <row r="3576" spans="1:4" x14ac:dyDescent="0.2">
      <c r="A3576" s="5">
        <v>3515</v>
      </c>
      <c r="B3576" s="138">
        <f>'Acct Summary 7-8'!K20</f>
        <v>27155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27155</v>
      </c>
      <c r="C3588" s="2" t="s">
        <v>594</v>
      </c>
      <c r="D3588" s="2" t="str">
        <f t="shared" si="55"/>
        <v>Error?</v>
      </c>
    </row>
    <row r="3589" spans="1:4" x14ac:dyDescent="0.2">
      <c r="A3589" s="5">
        <v>3528</v>
      </c>
      <c r="B3589" s="138">
        <f>'Acct Summary 7-8'!K79</f>
        <v>245144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272299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686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686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686</v>
      </c>
      <c r="C3635" s="2" t="s">
        <v>594</v>
      </c>
      <c r="D3635" s="2" t="str">
        <f t="shared" si="55"/>
        <v>Error?</v>
      </c>
    </row>
    <row r="3636" spans="1:4" x14ac:dyDescent="0.2">
      <c r="A3636" s="5">
        <v>3575</v>
      </c>
      <c r="B3636" s="138">
        <f>'Expenditures 15-22'!E367</f>
        <v>686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686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686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686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686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27155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27303</v>
      </c>
      <c r="C3725" s="2" t="s">
        <v>594</v>
      </c>
      <c r="D3725" s="2" t="str">
        <f t="shared" si="57"/>
        <v>Error?</v>
      </c>
    </row>
    <row r="3726" spans="1:4" x14ac:dyDescent="0.2">
      <c r="A3726" s="5">
        <v>3665</v>
      </c>
      <c r="B3726" s="138">
        <f>'Tax Sched 23'!D13</f>
        <v>27193</v>
      </c>
      <c r="C3726" s="2" t="s">
        <v>594</v>
      </c>
      <c r="D3726" s="2" t="str">
        <f t="shared" si="57"/>
        <v>Error?</v>
      </c>
    </row>
    <row r="3727" spans="1:4" x14ac:dyDescent="0.2">
      <c r="A3727" s="5">
        <v>3666</v>
      </c>
      <c r="B3727" s="138">
        <f>'Tax Sched 23'!C13</f>
        <v>110</v>
      </c>
      <c r="D3727" s="2" t="str">
        <f t="shared" si="57"/>
        <v>Error?</v>
      </c>
    </row>
    <row r="3728" spans="1:4" x14ac:dyDescent="0.2">
      <c r="A3728" s="5">
        <v>3667</v>
      </c>
      <c r="B3728" s="138">
        <f>'Tax Sched 23'!F13</f>
        <v>28847</v>
      </c>
      <c r="C3728" s="2" t="s">
        <v>594</v>
      </c>
      <c r="D3728" s="2" t="str">
        <f t="shared" si="57"/>
        <v>Error?</v>
      </c>
    </row>
    <row r="3729" spans="1:4" x14ac:dyDescent="0.2">
      <c r="A3729" s="5">
        <v>3668</v>
      </c>
      <c r="B3729" s="138">
        <f>'Tax Sched 23'!E13</f>
        <v>28957</v>
      </c>
      <c r="D3729" s="2" t="str">
        <f t="shared" si="57"/>
        <v>Error?</v>
      </c>
    </row>
    <row r="3730" spans="1:4" x14ac:dyDescent="0.2">
      <c r="A3730" s="5">
        <v>3669</v>
      </c>
      <c r="B3730" s="138">
        <f>'ICR Computation 30'!E10</f>
        <v>83096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269168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4443082</v>
      </c>
      <c r="C4122" s="2" t="s">
        <v>594</v>
      </c>
      <c r="D4122" s="2" t="str">
        <f t="shared" si="63"/>
        <v>Error?</v>
      </c>
    </row>
    <row r="4123" spans="1:4" x14ac:dyDescent="0.2">
      <c r="A4123" s="5">
        <v>4062</v>
      </c>
      <c r="B4123" s="138">
        <f>'Acct Summary 7-8'!D10</f>
        <v>357753</v>
      </c>
      <c r="C4123" s="2" t="s">
        <v>594</v>
      </c>
      <c r="D4123" s="2" t="str">
        <f t="shared" si="63"/>
        <v>Error?</v>
      </c>
    </row>
    <row r="4124" spans="1:4" x14ac:dyDescent="0.2">
      <c r="A4124" s="5">
        <v>4063</v>
      </c>
      <c r="B4124" s="138">
        <f>'Acct Summary 7-8'!E10</f>
        <v>601219</v>
      </c>
      <c r="C4124" s="2" t="s">
        <v>594</v>
      </c>
      <c r="D4124" s="2" t="str">
        <f t="shared" si="63"/>
        <v>Error?</v>
      </c>
    </row>
    <row r="4125" spans="1:4" x14ac:dyDescent="0.2">
      <c r="A4125" s="5">
        <v>4064</v>
      </c>
      <c r="B4125" s="138">
        <f>'Acct Summary 7-8'!F10</f>
        <v>278845</v>
      </c>
      <c r="C4125" s="2" t="s">
        <v>594</v>
      </c>
      <c r="D4125" s="2" t="str">
        <f t="shared" si="63"/>
        <v>Error?</v>
      </c>
    </row>
    <row r="4126" spans="1:4" x14ac:dyDescent="0.2">
      <c r="A4126" s="5">
        <v>4065</v>
      </c>
      <c r="B4126" s="138">
        <f>'Acct Summary 7-8'!G10</f>
        <v>188821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21287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27841</v>
      </c>
      <c r="C4130" s="2" t="s">
        <v>594</v>
      </c>
      <c r="D4130" s="2" t="str">
        <f t="shared" si="63"/>
        <v>Error?</v>
      </c>
    </row>
    <row r="4131" spans="1:4" x14ac:dyDescent="0.2">
      <c r="A4131" s="5">
        <v>4070</v>
      </c>
      <c r="B4131" s="138">
        <f>'Acct Summary 7-8'!C18</f>
        <v>269168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4565845</v>
      </c>
      <c r="C4136" s="2" t="s">
        <v>594</v>
      </c>
      <c r="D4136" s="2" t="str">
        <f t="shared" si="63"/>
        <v>Error?</v>
      </c>
    </row>
    <row r="4137" spans="1:4" x14ac:dyDescent="0.2">
      <c r="A4137" s="5">
        <v>4076</v>
      </c>
      <c r="B4137" s="138">
        <f>'Acct Summary 7-8'!D19</f>
        <v>407115</v>
      </c>
      <c r="C4137" s="2" t="s">
        <v>594</v>
      </c>
      <c r="D4137" s="2" t="str">
        <f t="shared" si="63"/>
        <v>Error?</v>
      </c>
    </row>
    <row r="4138" spans="1:4" x14ac:dyDescent="0.2">
      <c r="A4138" s="5">
        <v>4077</v>
      </c>
      <c r="B4138" s="138">
        <f>'Acct Summary 7-8'!E19</f>
        <v>634091</v>
      </c>
      <c r="C4138" s="2" t="s">
        <v>594</v>
      </c>
      <c r="D4138" s="2" t="str">
        <f t="shared" si="63"/>
        <v>Error?</v>
      </c>
    </row>
    <row r="4139" spans="1:4" x14ac:dyDescent="0.2">
      <c r="A4139" s="5">
        <v>4078</v>
      </c>
      <c r="B4139" s="138">
        <f>'Acct Summary 7-8'!F19</f>
        <v>276641</v>
      </c>
      <c r="C4139" s="2" t="s">
        <v>594</v>
      </c>
      <c r="D4139" s="2" t="str">
        <f t="shared" si="63"/>
        <v>Error?</v>
      </c>
    </row>
    <row r="4140" spans="1:4" x14ac:dyDescent="0.2">
      <c r="A4140" s="5">
        <v>4079</v>
      </c>
      <c r="B4140" s="138">
        <f>'Acct Summary 7-8'!G19</f>
        <v>171559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686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466665</v>
      </c>
      <c r="C4171" s="2" t="s">
        <v>594</v>
      </c>
      <c r="D4171" s="2" t="str">
        <f t="shared" si="64"/>
        <v>Error?</v>
      </c>
    </row>
    <row r="4172" spans="1:4" x14ac:dyDescent="0.2">
      <c r="A4172" s="5">
        <v>4111</v>
      </c>
      <c r="B4172" s="138">
        <f>'Short-Term Long-Term Debt 24'!J49</f>
        <v>403458</v>
      </c>
      <c r="C4172" s="2" t="s">
        <v>594</v>
      </c>
      <c r="D4172" s="2" t="str">
        <f t="shared" si="64"/>
        <v>Error?</v>
      </c>
    </row>
    <row r="4173" spans="1:4" x14ac:dyDescent="0.2">
      <c r="A4173" s="5">
        <v>4112</v>
      </c>
      <c r="B4173" s="138">
        <f>'Short-Term Long-Term Debt 24'!H49</f>
        <v>231899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3378.9</v>
      </c>
      <c r="C4265" s="2" t="s">
        <v>594</v>
      </c>
      <c r="D4265" s="2" t="str">
        <f t="shared" si="65"/>
        <v>Error?</v>
      </c>
      <c r="E4265" s="128"/>
    </row>
    <row r="4266" spans="1:5" x14ac:dyDescent="0.2">
      <c r="A4266" s="12">
        <v>4205</v>
      </c>
      <c r="B4266" s="138">
        <f>('FP Info 3'!F10)*100000</f>
        <v>395.75</v>
      </c>
      <c r="C4266" s="2" t="s">
        <v>594</v>
      </c>
      <c r="D4266" s="2" t="str">
        <f t="shared" si="65"/>
        <v>Error?</v>
      </c>
      <c r="E4266" s="128"/>
    </row>
    <row r="4267" spans="1:5" x14ac:dyDescent="0.2">
      <c r="A4267" s="12">
        <v>4206</v>
      </c>
      <c r="B4267" s="138">
        <f>('FP Info 3'!H10)*100000</f>
        <v>242.85000000000002</v>
      </c>
      <c r="C4267" s="2" t="s">
        <v>594</v>
      </c>
      <c r="D4267" s="2" t="str">
        <f t="shared" si="65"/>
        <v>Error?</v>
      </c>
      <c r="E4267" s="128"/>
    </row>
    <row r="4268" spans="1:5" x14ac:dyDescent="0.2">
      <c r="A4268" s="12">
        <v>4207</v>
      </c>
      <c r="B4268" s="138">
        <f>('FP Info 3'!J10)*100000</f>
        <v>4018</v>
      </c>
      <c r="C4268" s="2" t="s">
        <v>594</v>
      </c>
      <c r="D4268" s="2" t="str">
        <f t="shared" si="65"/>
        <v>Error?</v>
      </c>
    </row>
    <row r="4269" spans="1:5" x14ac:dyDescent="0.2">
      <c r="A4269" s="12">
        <v>4208</v>
      </c>
      <c r="B4269" s="138">
        <f>'FP Info 3'!J16</f>
        <v>1217538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4268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26970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39.29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39669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53349524</v>
      </c>
      <c r="D4995" s="2" t="str">
        <f t="shared" si="77"/>
        <v>Error?</v>
      </c>
    </row>
    <row r="4996" spans="1:4" x14ac:dyDescent="0.2">
      <c r="A4996" s="12">
        <v>4935</v>
      </c>
      <c r="B4996" s="138">
        <f>'FP Info 3'!H31</f>
        <v>7362234.3120000008</v>
      </c>
      <c r="D4996" s="2" t="str">
        <f t="shared" si="77"/>
        <v>Error?</v>
      </c>
    </row>
    <row r="4997" spans="1:4" x14ac:dyDescent="0.2">
      <c r="A4997" s="12">
        <v>4936</v>
      </c>
      <c r="B4997" s="138">
        <f>'FP Info 3'!H37</f>
        <v>466665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27303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1386607</v>
      </c>
      <c r="D5061" s="2" t="str">
        <f t="shared" si="78"/>
        <v>Error?</v>
      </c>
    </row>
    <row r="5062" spans="1:4" x14ac:dyDescent="0.2">
      <c r="A5062" s="10">
        <v>5001</v>
      </c>
      <c r="D5062" s="2" t="str">
        <f t="shared" si="78"/>
        <v>OK</v>
      </c>
    </row>
    <row r="5063" spans="1:4" x14ac:dyDescent="0.2">
      <c r="A5063" s="5">
        <v>5002</v>
      </c>
      <c r="B5063" s="138">
        <f>'Revenues 9-14'!C7</f>
        <v>21829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1435739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45699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45699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1921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1921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4165</v>
      </c>
      <c r="D5093" s="2" t="str">
        <f t="shared" si="78"/>
        <v>Error?</v>
      </c>
    </row>
    <row r="5094" spans="1:4" x14ac:dyDescent="0.2">
      <c r="A5094" s="5">
        <v>5033</v>
      </c>
      <c r="B5094" s="138">
        <f>'Revenues 9-14'!C73</f>
        <v>3620</v>
      </c>
      <c r="D5094" s="2" t="str">
        <f t="shared" si="78"/>
        <v>Error?</v>
      </c>
    </row>
    <row r="5095" spans="1:4" x14ac:dyDescent="0.2">
      <c r="A5095" s="5">
        <v>5034</v>
      </c>
      <c r="B5095" s="138">
        <f>'Revenues 9-14'!C74</f>
        <v>540</v>
      </c>
      <c r="D5095" s="2" t="str">
        <f t="shared" si="78"/>
        <v>Error?</v>
      </c>
    </row>
    <row r="5096" spans="1:4" x14ac:dyDescent="0.2">
      <c r="A5096" s="5">
        <v>5035</v>
      </c>
      <c r="B5096" s="138">
        <f>'Revenues 9-14'!C75</f>
        <v>127601</v>
      </c>
      <c r="C5096" s="2" t="s">
        <v>594</v>
      </c>
      <c r="D5096" s="2" t="str">
        <f t="shared" si="78"/>
        <v>Error?</v>
      </c>
    </row>
    <row r="5097" spans="1:4" x14ac:dyDescent="0.2">
      <c r="A5097" s="5">
        <v>5036</v>
      </c>
      <c r="B5097" s="138">
        <f>'Revenues 9-14'!C77</f>
        <v>21773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26846</v>
      </c>
      <c r="D5099" s="2" t="str">
        <f t="shared" si="78"/>
        <v>Error?</v>
      </c>
    </row>
    <row r="5100" spans="1:4" x14ac:dyDescent="0.2">
      <c r="A5100" s="5">
        <v>5039</v>
      </c>
      <c r="B5100" s="138">
        <f>'Revenues 9-14'!C80</f>
        <v>1503</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50122</v>
      </c>
      <c r="C5102" s="2" t="s">
        <v>594</v>
      </c>
      <c r="D5102" s="2" t="str">
        <f t="shared" si="78"/>
        <v>Error?</v>
      </c>
    </row>
    <row r="5103" spans="1:4" x14ac:dyDescent="0.2">
      <c r="A5103" s="5">
        <v>5042</v>
      </c>
      <c r="B5103" s="138">
        <f>'Revenues 9-14'!C84</f>
        <v>17216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100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17316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9119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155551</v>
      </c>
      <c r="D5119" s="2" t="str">
        <f t="shared" ref="D5119:D5182" si="79">IF(ISBLANK(B5119),"OK",IF(A5119-B5119=0,"OK","Error?"))</f>
        <v>Error?</v>
      </c>
    </row>
    <row r="5120" spans="1:4" x14ac:dyDescent="0.2">
      <c r="A5120" s="5">
        <v>5059</v>
      </c>
      <c r="B5120" s="138">
        <f>'Revenues 9-14'!C108</f>
        <v>251976</v>
      </c>
      <c r="C5120" s="2" t="s">
        <v>594</v>
      </c>
      <c r="D5120" s="2" t="str">
        <f t="shared" si="79"/>
        <v>Error?</v>
      </c>
    </row>
    <row r="5121" spans="1:4" x14ac:dyDescent="0.2">
      <c r="A5121" s="5">
        <v>5060</v>
      </c>
      <c r="B5121" s="138">
        <f>'Revenues 9-14'!C109</f>
        <v>1930374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1647776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1647776</v>
      </c>
      <c r="C5132" s="2" t="s">
        <v>594</v>
      </c>
      <c r="D5132" s="2" t="str">
        <f t="shared" si="79"/>
        <v>Error?</v>
      </c>
    </row>
    <row r="5133" spans="1:4" x14ac:dyDescent="0.2">
      <c r="A5133" s="5">
        <v>5072</v>
      </c>
      <c r="B5133" s="138">
        <f>'Revenues 9-14'!C124</f>
        <v>18285</v>
      </c>
      <c r="D5133" s="2" t="str">
        <f t="shared" si="79"/>
        <v>Error?</v>
      </c>
    </row>
    <row r="5134" spans="1:4" x14ac:dyDescent="0.2">
      <c r="A5134" s="5">
        <v>5073</v>
      </c>
      <c r="B5134" s="138">
        <f>'Revenues 9-14'!C125</f>
        <v>28684</v>
      </c>
      <c r="D5134" s="2" t="str">
        <f t="shared" si="79"/>
        <v>Error?</v>
      </c>
    </row>
    <row r="5135" spans="1:4" x14ac:dyDescent="0.2">
      <c r="A5135" s="5">
        <v>5074</v>
      </c>
      <c r="B5135" s="138">
        <f>'Revenues 9-14'!C126</f>
        <v>47398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94367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4695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8684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978</v>
      </c>
      <c r="D5167" s="2" t="str">
        <f t="shared" si="79"/>
        <v>Error?</v>
      </c>
    </row>
    <row r="5168" spans="1:4" x14ac:dyDescent="0.2">
      <c r="A5168" s="5">
        <v>5107</v>
      </c>
      <c r="B5168" s="138">
        <f>'Revenues 9-14'!C147</f>
        <v>7966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82078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195573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1843349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39669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71699</v>
      </c>
      <c r="D5239" s="2" t="str">
        <f t="shared" si="80"/>
        <v>Error?</v>
      </c>
    </row>
    <row r="5240" spans="1:4" x14ac:dyDescent="0.2">
      <c r="A5240" s="5">
        <v>5179</v>
      </c>
      <c r="B5240" s="138">
        <f>'Revenues 9-14'!C195</f>
        <v>721</v>
      </c>
      <c r="D5240" s="2" t="str">
        <f t="shared" si="80"/>
        <v>Error?</v>
      </c>
    </row>
    <row r="5241" spans="1:4" x14ac:dyDescent="0.2">
      <c r="A5241" s="5">
        <v>5180</v>
      </c>
      <c r="B5241" s="138">
        <f>'Revenues 9-14'!C196</f>
        <v>10676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83096</v>
      </c>
      <c r="C5246" s="2" t="s">
        <v>594</v>
      </c>
      <c r="D5246" s="2" t="str">
        <f t="shared" si="80"/>
        <v>Error?</v>
      </c>
    </row>
    <row r="5247" spans="1:4" x14ac:dyDescent="0.2">
      <c r="A5247" s="5">
        <v>5186</v>
      </c>
      <c r="B5247" s="138">
        <f>'Revenues 9-14'!C203</f>
        <v>67590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67590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10734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118742</v>
      </c>
      <c r="D5278" s="2" t="str">
        <f t="shared" si="81"/>
        <v>Error?</v>
      </c>
    </row>
    <row r="5279" spans="1:4" x14ac:dyDescent="0.2">
      <c r="A5279" s="5">
        <v>5218</v>
      </c>
      <c r="B5279" s="138">
        <f>'Revenues 9-14'!C221</f>
        <v>49122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178598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360522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400191</v>
      </c>
      <c r="C5326" s="2" t="s">
        <v>594</v>
      </c>
      <c r="D5326" s="2" t="str">
        <f t="shared" si="82"/>
        <v>Error?</v>
      </c>
    </row>
    <row r="5327" spans="1:4" x14ac:dyDescent="0.2">
      <c r="A5327" s="5">
        <v>5266</v>
      </c>
      <c r="B5327" s="138">
        <f>'Revenues 9-14'!C275</f>
        <v>4173914</v>
      </c>
      <c r="C5327" s="2" t="s">
        <v>594</v>
      </c>
      <c r="D5327" s="2" t="str">
        <f t="shared" si="82"/>
        <v>Error?</v>
      </c>
    </row>
    <row r="5328" spans="1:4" x14ac:dyDescent="0.2">
      <c r="A5328" s="5">
        <v>5267</v>
      </c>
      <c r="B5328" s="138">
        <f>'Revenues 9-14'!D5</f>
        <v>293525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293525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6123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6123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27105</v>
      </c>
      <c r="D5354" s="2" t="str">
        <f t="shared" si="82"/>
        <v>Error?</v>
      </c>
    </row>
    <row r="5355" spans="1:4" x14ac:dyDescent="0.2">
      <c r="A5355" s="5">
        <v>5294</v>
      </c>
      <c r="B5355" s="138">
        <f>'Revenues 9-14'!D108</f>
        <v>58105</v>
      </c>
      <c r="C5355" s="2" t="s">
        <v>594</v>
      </c>
      <c r="D5355" s="2" t="str">
        <f t="shared" si="82"/>
        <v>Error?</v>
      </c>
    </row>
    <row r="5356" spans="1:4" x14ac:dyDescent="0.2">
      <c r="A5356" s="5">
        <v>5295</v>
      </c>
      <c r="B5356" s="138">
        <f>'Revenues 9-14'!D109</f>
        <v>357753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357753</v>
      </c>
      <c r="C5508" s="2" t="s">
        <v>594</v>
      </c>
      <c r="D5508" s="2" t="str">
        <f t="shared" si="85"/>
        <v>Error?</v>
      </c>
    </row>
    <row r="5509" spans="1:4" x14ac:dyDescent="0.2">
      <c r="A5509" s="5">
        <v>5448</v>
      </c>
      <c r="B5509" s="138">
        <f>'Revenues 9-14'!E5</f>
        <v>598486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598486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2733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601219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601219</v>
      </c>
      <c r="C5552" s="2" t="s">
        <v>594</v>
      </c>
      <c r="D5552" s="2" t="str">
        <f t="shared" si="85"/>
        <v>Error?</v>
      </c>
    </row>
    <row r="5553" spans="1:4" x14ac:dyDescent="0.2">
      <c r="A5553" s="5">
        <v>5492</v>
      </c>
      <c r="B5553" s="138">
        <f>'Revenues 9-14'!F5</f>
        <v>108987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108987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3249</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3249</v>
      </c>
      <c r="C5579" s="2" t="s">
        <v>594</v>
      </c>
      <c r="D5579" s="2" t="str">
        <f t="shared" si="86"/>
        <v>Error?</v>
      </c>
    </row>
    <row r="5580" spans="1:4" x14ac:dyDescent="0.2">
      <c r="A5580" s="5">
        <v>5519</v>
      </c>
      <c r="B5580" s="138">
        <f>'Revenues 9-14'!F65</f>
        <v>2414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2414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1197</v>
      </c>
      <c r="D5586" s="2" t="str">
        <f t="shared" si="86"/>
        <v>Error?</v>
      </c>
    </row>
    <row r="5587" spans="1:4" x14ac:dyDescent="0.2">
      <c r="A5587" s="5">
        <v>5526</v>
      </c>
      <c r="B5587" s="138">
        <f>'Revenues 9-14'!F108</f>
        <v>1197</v>
      </c>
      <c r="C5587" s="2" t="s">
        <v>594</v>
      </c>
      <c r="D5587" s="2" t="str">
        <f t="shared" si="86"/>
        <v>Error?</v>
      </c>
    </row>
    <row r="5588" spans="1:4" x14ac:dyDescent="0.2">
      <c r="A5588" s="5">
        <v>5527</v>
      </c>
      <c r="B5588" s="138">
        <f>'Revenues 9-14'!F109</f>
        <v>115847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103704</v>
      </c>
      <c r="D5615" s="2" t="str">
        <f t="shared" si="86"/>
        <v>Error?</v>
      </c>
    </row>
    <row r="5616" spans="1:4" x14ac:dyDescent="0.2">
      <c r="A5616" s="10">
        <v>5555</v>
      </c>
      <c r="D5616" s="2" t="str">
        <f t="shared" si="86"/>
        <v>OK</v>
      </c>
    </row>
    <row r="5617" spans="1:4" x14ac:dyDescent="0.2">
      <c r="A5617" s="5">
        <v>5556</v>
      </c>
      <c r="B5617" s="138">
        <f>'Revenues 9-14'!F152</f>
        <v>59294</v>
      </c>
      <c r="D5617" s="2" t="str">
        <f t="shared" si="86"/>
        <v>Error?</v>
      </c>
    </row>
    <row r="5618" spans="1:4" x14ac:dyDescent="0.2">
      <c r="A5618" s="5">
        <v>5557</v>
      </c>
      <c r="B5618" s="138">
        <f>'Revenues 9-14'!F154</f>
        <v>162998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162998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162998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278845</v>
      </c>
      <c r="C5720" s="2" t="s">
        <v>594</v>
      </c>
      <c r="D5720" s="2" t="str">
        <f t="shared" si="88"/>
        <v>Error?</v>
      </c>
    </row>
    <row r="5721" spans="1:4" x14ac:dyDescent="0.2">
      <c r="A5721" s="5">
        <v>5660</v>
      </c>
      <c r="B5721" s="138">
        <f>'Revenues 9-14'!G5</f>
        <v>68143</v>
      </c>
      <c r="D5721" s="2" t="str">
        <f t="shared" si="88"/>
        <v>Error?</v>
      </c>
    </row>
    <row r="5722" spans="1:4" x14ac:dyDescent="0.2">
      <c r="A5722" s="5">
        <v>5661</v>
      </c>
      <c r="B5722" s="138">
        <f>'Revenues 9-14'!G7</f>
        <v>0</v>
      </c>
      <c r="D5722" s="2" t="str">
        <f t="shared" si="88"/>
        <v>Error?</v>
      </c>
    </row>
    <row r="5723" spans="1:4" x14ac:dyDescent="0.2">
      <c r="A5723" s="5">
        <v>5662</v>
      </c>
      <c r="B5723" s="138">
        <f>'Revenues 9-14'!G8</f>
        <v>114354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182497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5528</v>
      </c>
      <c r="C5730" s="2" t="s">
        <v>594</v>
      </c>
      <c r="D5730" s="2" t="str">
        <f t="shared" si="88"/>
        <v>Error?</v>
      </c>
    </row>
    <row r="5731" spans="1:4" x14ac:dyDescent="0.2">
      <c r="A5731" s="5">
        <v>5670</v>
      </c>
      <c r="B5731" s="138">
        <f>'Revenues 9-14'!G65</f>
        <v>796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796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188821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17638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17638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3649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3649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21287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26104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26104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1737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27841</v>
      </c>
      <c r="C6023" s="2" t="s">
        <v>594</v>
      </c>
      <c r="D6023" s="2" t="str">
        <f t="shared" si="93"/>
        <v>Error?</v>
      </c>
    </row>
    <row r="6024" spans="1:5" x14ac:dyDescent="0.2">
      <c r="A6024" s="5">
        <v>5963</v>
      </c>
      <c r="B6024" s="138">
        <f>'Revenues 9-14'!G109</f>
        <v>188821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21287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27841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119276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18618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404.07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10414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10414</v>
      </c>
      <c r="D6215" s="2" t="str">
        <f t="shared" si="96"/>
        <v>Error?</v>
      </c>
      <c r="E6215" s="2" t="s">
        <v>199</v>
      </c>
    </row>
    <row r="6216" spans="1:5" x14ac:dyDescent="0.2">
      <c r="A6216">
        <v>6155</v>
      </c>
      <c r="B6216" s="138">
        <f>'Assets-Liab 5-6'!J41</f>
        <v>10414</v>
      </c>
      <c r="D6216" s="2" t="str">
        <f t="shared" si="96"/>
        <v>Error?</v>
      </c>
      <c r="E6216" s="2" t="s">
        <v>199</v>
      </c>
    </row>
    <row r="6217" spans="1:5" x14ac:dyDescent="0.2">
      <c r="A6217">
        <v>6156</v>
      </c>
      <c r="B6217" s="138">
        <f>'Assets-Liab 5-6'!J4</f>
        <v>10414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113692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113692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113692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111043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111043</v>
      </c>
      <c r="D6229" s="2" t="str">
        <f t="shared" si="96"/>
        <v>Error?</v>
      </c>
      <c r="E6229" s="2" t="s">
        <v>199</v>
      </c>
    </row>
    <row r="6230" spans="1:5" x14ac:dyDescent="0.2">
      <c r="A6230">
        <v>6169</v>
      </c>
      <c r="B6230" s="138">
        <f>'Acct Summary 7-8'!J20</f>
        <v>2649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38396</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695</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2649</v>
      </c>
      <c r="D6263" s="2" t="str">
        <f t="shared" si="96"/>
        <v>Error?</v>
      </c>
      <c r="E6263" s="2" t="s">
        <v>199</v>
      </c>
    </row>
    <row r="6264" spans="1:5" x14ac:dyDescent="0.2">
      <c r="A6264">
        <v>6203</v>
      </c>
      <c r="B6264" s="138">
        <f>'Acct Summary 7-8'!J79</f>
        <v>7765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10414</v>
      </c>
      <c r="D6266" s="2" t="str">
        <f t="shared" si="96"/>
        <v>Error?</v>
      </c>
      <c r="E6266" s="2" t="s">
        <v>199</v>
      </c>
    </row>
    <row r="6267" spans="1:5" x14ac:dyDescent="0.2">
      <c r="A6267">
        <v>6206</v>
      </c>
      <c r="B6267" s="138">
        <f>'Acct Summary 7-8'!C82</f>
        <v>-1139</v>
      </c>
      <c r="D6267" s="2" t="str">
        <f t="shared" si="96"/>
        <v>Error?</v>
      </c>
      <c r="E6267" s="2" t="s">
        <v>199</v>
      </c>
    </row>
    <row r="6268" spans="1:5" x14ac:dyDescent="0.2">
      <c r="A6268">
        <v>6207</v>
      </c>
      <c r="B6268" s="138">
        <f>'Acct Summary 7-8'!D82</f>
        <v>-49362</v>
      </c>
      <c r="D6268" s="2" t="str">
        <f t="shared" si="96"/>
        <v>Error?</v>
      </c>
      <c r="E6268" s="2" t="s">
        <v>199</v>
      </c>
    </row>
    <row r="6269" spans="1:5" x14ac:dyDescent="0.2">
      <c r="A6269">
        <v>6208</v>
      </c>
      <c r="B6269" s="138">
        <f>'Acct Summary 7-8'!E82</f>
        <v>3486</v>
      </c>
      <c r="D6269" s="2" t="str">
        <f t="shared" si="96"/>
        <v>Error?</v>
      </c>
      <c r="E6269" s="2" t="s">
        <v>199</v>
      </c>
    </row>
    <row r="6270" spans="1:5" x14ac:dyDescent="0.2">
      <c r="A6270">
        <v>6209</v>
      </c>
      <c r="B6270" s="138">
        <f>'Acct Summary 7-8'!F82</f>
        <v>2204</v>
      </c>
      <c r="D6270" s="2" t="str">
        <f t="shared" si="96"/>
        <v>Error?</v>
      </c>
      <c r="E6270" s="2" t="s">
        <v>199</v>
      </c>
    </row>
    <row r="6271" spans="1:5" x14ac:dyDescent="0.2">
      <c r="A6271">
        <v>6210</v>
      </c>
      <c r="B6271" s="138">
        <f>'Acct Summary 7-8'!G82</f>
        <v>17262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-82362</v>
      </c>
      <c r="D6273" s="2" t="str">
        <f t="shared" si="97"/>
        <v>Error?</v>
      </c>
      <c r="E6273" s="2" t="s">
        <v>199</v>
      </c>
    </row>
    <row r="6274" spans="1:5" x14ac:dyDescent="0.2">
      <c r="A6274">
        <v>6213</v>
      </c>
      <c r="B6274" s="138">
        <f>'Acct Summary 7-8'!J82</f>
        <v>2649</v>
      </c>
      <c r="D6274" s="2" t="str">
        <f t="shared" si="97"/>
        <v>Error?</v>
      </c>
      <c r="E6274" s="2" t="s">
        <v>199</v>
      </c>
    </row>
    <row r="6275" spans="1:5" x14ac:dyDescent="0.2">
      <c r="A6275">
        <v>6214</v>
      </c>
      <c r="B6275" s="138">
        <f>'Acct Summary 7-8'!K82</f>
        <v>27155</v>
      </c>
      <c r="D6275" s="2" t="str">
        <f t="shared" si="97"/>
        <v>Error?</v>
      </c>
      <c r="E6275" s="2" t="s">
        <v>199</v>
      </c>
    </row>
    <row r="6276" spans="1:5" x14ac:dyDescent="0.2">
      <c r="A6276">
        <v>6215</v>
      </c>
      <c r="B6276" s="138">
        <f>'Acct Summary 7-8'!C83</f>
        <v>-9.2796271854784836E-3</v>
      </c>
      <c r="D6276" s="2" t="str">
        <f t="shared" si="97"/>
        <v>Error?</v>
      </c>
      <c r="E6276" s="2" t="s">
        <v>199</v>
      </c>
    </row>
    <row r="6277" spans="1:5" x14ac:dyDescent="0.2">
      <c r="A6277">
        <v>6216</v>
      </c>
      <c r="B6277" s="138">
        <f>'Acct Summary 7-8'!D83</f>
        <v>-8.5637554085141371E-2</v>
      </c>
      <c r="D6277" s="2" t="str">
        <f t="shared" si="97"/>
        <v>Error?</v>
      </c>
      <c r="E6277" s="2" t="s">
        <v>199</v>
      </c>
    </row>
    <row r="6278" spans="1:5" x14ac:dyDescent="0.2">
      <c r="A6278">
        <v>6217</v>
      </c>
      <c r="B6278" s="138">
        <f>'Acct Summary 7-8'!E83</f>
        <v>5.5152119227300775E-2</v>
      </c>
      <c r="D6278" s="2" t="str">
        <f t="shared" si="97"/>
        <v>Error?</v>
      </c>
      <c r="E6278" s="2" t="s">
        <v>199</v>
      </c>
    </row>
    <row r="6279" spans="1:5" x14ac:dyDescent="0.2">
      <c r="A6279">
        <v>6218</v>
      </c>
      <c r="B6279" s="138">
        <f>'Acct Summary 7-8'!F83</f>
        <v>7.7561663986261313E-3</v>
      </c>
      <c r="D6279" s="2" t="str">
        <f t="shared" si="97"/>
        <v>Error?</v>
      </c>
      <c r="E6279" s="2" t="s">
        <v>199</v>
      </c>
    </row>
    <row r="6280" spans="1:5" x14ac:dyDescent="0.2">
      <c r="A6280">
        <v>6219</v>
      </c>
      <c r="B6280" s="138">
        <f>'Acct Summary 7-8'!G83</f>
        <v>0.42058329069512462</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-0.35163024219887373</v>
      </c>
      <c r="D6282" s="2" t="str">
        <f t="shared" si="97"/>
        <v>Error?</v>
      </c>
      <c r="E6282" s="2" t="s">
        <v>199</v>
      </c>
    </row>
    <row r="6283" spans="1:5" x14ac:dyDescent="0.2">
      <c r="A6283">
        <v>6222</v>
      </c>
      <c r="B6283" s="138">
        <f>'Acct Summary 7-8'!J83</f>
        <v>0.25436911849433452</v>
      </c>
      <c r="D6283" s="2" t="str">
        <f t="shared" si="97"/>
        <v>Error?</v>
      </c>
      <c r="E6283" s="2" t="s">
        <v>199</v>
      </c>
    </row>
    <row r="6284" spans="1:5" x14ac:dyDescent="0.2">
      <c r="A6284">
        <v>6223</v>
      </c>
      <c r="B6284" s="138">
        <f>'Acct Summary 7-8'!K83</f>
        <v>9.9724934722492553E-2</v>
      </c>
      <c r="D6284" s="2" t="str">
        <f t="shared" si="97"/>
        <v>Error?</v>
      </c>
      <c r="E6284" s="2" t="s">
        <v>199</v>
      </c>
    </row>
    <row r="6285" spans="1:5" x14ac:dyDescent="0.2">
      <c r="A6285">
        <v>6224</v>
      </c>
      <c r="B6285" s="138">
        <f>'Acct Summary 7-8'!E37</f>
        <v>38396</v>
      </c>
      <c r="D6285" s="2" t="str">
        <f t="shared" si="97"/>
        <v>Error?</v>
      </c>
      <c r="E6285" s="2" t="s">
        <v>199</v>
      </c>
    </row>
    <row r="6286" spans="1:5" x14ac:dyDescent="0.2">
      <c r="A6286">
        <v>6225</v>
      </c>
      <c r="B6286" s="138">
        <f>'Acct Summary 7-8'!E38</f>
        <v>695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112748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112748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79031</v>
      </c>
      <c r="D6330" s="2" t="str">
        <f t="shared" si="97"/>
        <v>Error?</v>
      </c>
      <c r="E6330" s="2" t="s">
        <v>199</v>
      </c>
    </row>
    <row r="6331" spans="1:5" x14ac:dyDescent="0.2">
      <c r="A6331">
        <v>6270</v>
      </c>
      <c r="B6331" s="138">
        <f>'Revenues 9-14'!D100</f>
        <v>31000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8075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113692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3989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33145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40001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26876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44895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56115</v>
      </c>
      <c r="D6878" s="2" t="str">
        <f t="shared" si="106"/>
        <v>Error?</v>
      </c>
    </row>
    <row r="6879" spans="1:4" x14ac:dyDescent="0.2">
      <c r="A6879">
        <v>6818</v>
      </c>
      <c r="B6879" s="138">
        <f>'Expenditures 15-22'!K21</f>
        <v>56115</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2000</v>
      </c>
      <c r="D6900" s="2" t="str">
        <f t="shared" si="106"/>
        <v>Error?</v>
      </c>
    </row>
    <row r="6901" spans="1:4" x14ac:dyDescent="0.2">
      <c r="A6901">
        <v>6840</v>
      </c>
      <c r="B6901" s="138">
        <f>'Expenditures 15-22'!K32</f>
        <v>2000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10349</v>
      </c>
      <c r="D6983" s="2" t="str">
        <f t="shared" si="108"/>
        <v>Error?</v>
      </c>
    </row>
    <row r="6984" spans="1:4" x14ac:dyDescent="0.2">
      <c r="A6984">
        <v>6923</v>
      </c>
      <c r="B6984" s="138">
        <f>'Expenditures 15-22'!K86</f>
        <v>10349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10349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60411</v>
      </c>
      <c r="D7014" s="2" t="str">
        <f t="shared" si="108"/>
        <v>Error?</v>
      </c>
    </row>
    <row r="7015" spans="1:4" x14ac:dyDescent="0.2">
      <c r="A7015">
        <v>6954</v>
      </c>
      <c r="B7015" s="138">
        <f>'Expenditures 15-22'!K101</f>
        <v>60411</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111043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113692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2633</v>
      </c>
      <c r="D7073" s="2" t="str">
        <f t="shared" si="109"/>
        <v>Error?</v>
      </c>
    </row>
    <row r="7074" spans="1:4" x14ac:dyDescent="0.2">
      <c r="A7074">
        <v>7013</v>
      </c>
      <c r="B7074" s="138">
        <f>'Expenditures 15-22'!K216</f>
        <v>2633</v>
      </c>
      <c r="D7074" s="2" t="str">
        <f t="shared" si="109"/>
        <v>Error?</v>
      </c>
    </row>
    <row r="7075" spans="1:4" x14ac:dyDescent="0.2">
      <c r="A7075">
        <v>7014</v>
      </c>
      <c r="B7075" s="138">
        <f>'Expenditures 15-22'!D218</f>
        <v>257</v>
      </c>
      <c r="D7075" s="2" t="str">
        <f t="shared" si="109"/>
        <v>Error?</v>
      </c>
    </row>
    <row r="7076" spans="1:4" x14ac:dyDescent="0.2">
      <c r="A7076">
        <v>7015</v>
      </c>
      <c r="B7076" s="138">
        <f>'Expenditures 15-22'!K218</f>
        <v>257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450</v>
      </c>
      <c r="D7079" s="2" t="str">
        <f t="shared" si="109"/>
        <v>Error?</v>
      </c>
    </row>
    <row r="7080" spans="1:4" x14ac:dyDescent="0.2">
      <c r="A7080">
        <v>7019</v>
      </c>
      <c r="B7080" s="138">
        <f>'Expenditures 15-22'!K226</f>
        <v>450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22764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22764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2294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2294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30384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30384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6500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6500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49101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49101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111043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111043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111043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111043</v>
      </c>
      <c r="D7224" s="2" t="str">
        <f t="shared" si="111"/>
        <v>Error?</v>
      </c>
    </row>
    <row r="7225" spans="1:4" x14ac:dyDescent="0.2">
      <c r="A7225">
        <v>7164</v>
      </c>
      <c r="B7225" s="138">
        <f>'Expenditures 15-22'!K343</f>
        <v>2649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6725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131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20151</v>
      </c>
      <c r="D7251" s="2" t="str">
        <f t="shared" si="112"/>
        <v>Error?</v>
      </c>
    </row>
    <row r="7252" spans="1:4" x14ac:dyDescent="0.2">
      <c r="A7252">
        <f t="shared" si="113"/>
        <v>7191</v>
      </c>
      <c r="B7252" s="138">
        <f>'Expenditures 15-22'!D9</f>
        <v>6725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31050</v>
      </c>
      <c r="D7263" s="2" t="str">
        <f t="shared" si="112"/>
        <v>Error?</v>
      </c>
    </row>
    <row r="7264" spans="1:4" x14ac:dyDescent="0.2">
      <c r="A7264">
        <f t="shared" si="113"/>
        <v>7203</v>
      </c>
      <c r="B7264" s="138">
        <f>'Expenditures 15-22'!D17</f>
        <v>8645</v>
      </c>
      <c r="D7264" s="2" t="str">
        <f t="shared" si="112"/>
        <v>Error?</v>
      </c>
    </row>
    <row r="7265" spans="1:5" x14ac:dyDescent="0.2">
      <c r="A7265">
        <f t="shared" si="113"/>
        <v>7204</v>
      </c>
      <c r="B7265" s="138">
        <f>'Expenditures 15-22'!E17</f>
        <v>5200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314686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3506</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8075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7966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16041</v>
      </c>
      <c r="D7719" s="2" t="str">
        <f t="shared" si="126"/>
        <v>Error?</v>
      </c>
      <c r="E7719" s="2" t="s">
        <v>881</v>
      </c>
    </row>
    <row r="7720" spans="1:6" x14ac:dyDescent="0.2">
      <c r="A7720">
        <v>7659</v>
      </c>
      <c r="B7720" s="138">
        <f>'Rest Tax Levies-Tort Im 25'!H14</f>
        <v>21829</v>
      </c>
      <c r="D7720" s="2" t="str">
        <f t="shared" si="126"/>
        <v>Error?</v>
      </c>
      <c r="E7720" s="2" t="s">
        <v>881</v>
      </c>
    </row>
    <row r="7721" spans="1:6" x14ac:dyDescent="0.2">
      <c r="A7721">
        <v>7660</v>
      </c>
      <c r="B7721" s="138">
        <f>'Rest Tax Levies-Tort Im 25'!K14</f>
        <v>16041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3506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3506</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146900</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96900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9" t="s">
        <v>1253</v>
      </c>
      <c r="B2" s="2429"/>
      <c r="C2" s="2429"/>
      <c r="D2" s="2429"/>
      <c r="E2" s="2429"/>
      <c r="F2" s="2429"/>
      <c r="G2" s="2429"/>
      <c r="H2" s="2429"/>
      <c r="I2" s="2429"/>
      <c r="J2" s="2429"/>
      <c r="K2" s="2429"/>
      <c r="L2" s="2429"/>
    </row>
    <row r="3" spans="1:29" ht="13.5" customHeight="1" x14ac:dyDescent="0.2">
      <c r="A3" s="2415" t="s">
        <v>1252</v>
      </c>
      <c r="B3" s="2415"/>
      <c r="C3" s="2415"/>
      <c r="D3" s="2415"/>
      <c r="E3" s="2415"/>
      <c r="F3" s="2415"/>
      <c r="G3" s="2415"/>
      <c r="H3" s="2415"/>
      <c r="I3" s="2415"/>
      <c r="J3" s="2415"/>
      <c r="K3" s="2415"/>
      <c r="L3" s="2415"/>
    </row>
    <row r="4" spans="1:29" ht="13.5" customHeight="1" x14ac:dyDescent="0.2">
      <c r="A4" s="2429" t="s">
        <v>1799</v>
      </c>
      <c r="B4" s="2446"/>
      <c r="C4" s="2446"/>
      <c r="D4" s="2446"/>
      <c r="E4" s="2446"/>
      <c r="F4" s="2446"/>
      <c r="G4" s="2446"/>
      <c r="H4" s="2446"/>
      <c r="I4" s="2446"/>
      <c r="J4" s="2446"/>
      <c r="K4" s="2446"/>
      <c r="L4" s="244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9" t="str">
        <f>COVER!A17</f>
        <v>Pearl City CUSD 200</v>
      </c>
      <c r="B7" s="2410"/>
      <c r="C7" s="2410"/>
      <c r="D7" s="2447"/>
      <c r="E7" s="2448">
        <f>COVER!A13</f>
        <v>8089200026</v>
      </c>
      <c r="F7" s="2449"/>
      <c r="G7" s="2416" t="str">
        <f>COVER!T23</f>
        <v>066-004238</v>
      </c>
      <c r="H7" s="2417"/>
      <c r="I7" s="2417"/>
      <c r="J7" s="2417"/>
      <c r="K7" s="2417"/>
      <c r="L7" s="241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9"/>
      <c r="B9" s="2420"/>
      <c r="C9" s="2420"/>
      <c r="D9" s="2420"/>
      <c r="E9" s="2420"/>
      <c r="F9" s="2421"/>
      <c r="G9" s="2422" t="str">
        <f>COVER!T13</f>
        <v>BENNING GROUP, LLC</v>
      </c>
      <c r="H9" s="2423"/>
      <c r="I9" s="2423"/>
      <c r="J9" s="2423"/>
      <c r="K9" s="2423"/>
      <c r="L9" s="2424"/>
    </row>
    <row r="10" spans="1:29" ht="13.5" customHeight="1" x14ac:dyDescent="0.2">
      <c r="A10" s="2406" t="str">
        <f>COVER!A38</f>
        <v>TIMOTHY THILL</v>
      </c>
      <c r="B10" s="2407"/>
      <c r="C10" s="2407"/>
      <c r="D10" s="2407"/>
      <c r="E10" s="2407"/>
      <c r="F10" s="2408"/>
      <c r="G10" s="2422" t="str">
        <f>COVER!T17</f>
        <v>50 W. DOUGLAS STREET, SUITE 801</v>
      </c>
      <c r="H10" s="2435"/>
      <c r="I10" s="2435"/>
      <c r="J10" s="2435"/>
      <c r="K10" s="2435"/>
      <c r="L10" s="2436"/>
    </row>
    <row r="11" spans="1:29" ht="13.5" customHeight="1" x14ac:dyDescent="0.2">
      <c r="A11" s="1185" t="s">
        <v>1599</v>
      </c>
      <c r="B11" s="1186"/>
      <c r="C11" s="1187"/>
      <c r="D11" s="1192"/>
      <c r="E11" s="1187"/>
      <c r="F11" s="1191"/>
      <c r="G11" s="2422" t="str">
        <f>COVER!T19</f>
        <v>FREEPORT</v>
      </c>
      <c r="H11" s="2435"/>
      <c r="I11" s="2435"/>
      <c r="J11" s="2435"/>
      <c r="K11" s="2435"/>
      <c r="L11" s="2436"/>
    </row>
    <row r="12" spans="1:29" ht="13.5" customHeight="1" x14ac:dyDescent="0.2">
      <c r="A12" s="2440" t="s">
        <v>1598</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1600</v>
      </c>
      <c r="H13" s="2431"/>
      <c r="I13" s="2443" t="str">
        <f>COVER!T25</f>
        <v>jblocker@benninggroup.com</v>
      </c>
      <c r="J13" s="2444"/>
      <c r="K13" s="2444"/>
      <c r="L13" s="2445"/>
    </row>
    <row r="14" spans="1:29" ht="13.5" customHeight="1" x14ac:dyDescent="0.2">
      <c r="A14" s="2422" t="str">
        <f>COVER!A19</f>
        <v>100 S. SUMMIT</v>
      </c>
      <c r="B14" s="2435"/>
      <c r="C14" s="2435"/>
      <c r="D14" s="2435"/>
      <c r="E14" s="2435"/>
      <c r="F14" s="2436"/>
      <c r="G14" s="1196" t="s">
        <v>1247</v>
      </c>
      <c r="H14" s="1194"/>
      <c r="I14" s="1194"/>
      <c r="J14" s="1194"/>
      <c r="K14" s="1194"/>
      <c r="L14" s="1195"/>
    </row>
    <row r="15" spans="1:29" ht="13.5" customHeight="1" x14ac:dyDescent="0.2">
      <c r="A15" s="2422" t="str">
        <f>COVER!A21</f>
        <v>PEARL CITY</v>
      </c>
      <c r="B15" s="2435"/>
      <c r="C15" s="2435"/>
      <c r="D15" s="2435"/>
      <c r="E15" s="2435"/>
      <c r="F15" s="2436"/>
      <c r="G15" s="2432" t="str">
        <f>COVER!T15</f>
        <v>JENNY L. BLOCKER</v>
      </c>
      <c r="H15" s="2433"/>
      <c r="I15" s="2433"/>
      <c r="J15" s="2433"/>
      <c r="K15" s="2433"/>
      <c r="L15" s="2434"/>
    </row>
    <row r="16" spans="1:29" ht="12.2" customHeight="1" x14ac:dyDescent="0.2">
      <c r="A16" s="2412">
        <f>COVER!A25</f>
        <v>61062</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6" t="s">
        <v>1246</v>
      </c>
      <c r="H17" s="1194"/>
      <c r="I17" s="1194"/>
      <c r="J17" s="1194"/>
      <c r="K17" s="1198" t="s">
        <v>1245</v>
      </c>
      <c r="L17" s="1191"/>
      <c r="M17" s="1184"/>
    </row>
    <row r="18" spans="1:13" ht="12.2" customHeight="1" x14ac:dyDescent="0.2">
      <c r="A18" s="2406"/>
      <c r="B18" s="2407"/>
      <c r="C18" s="2407"/>
      <c r="D18" s="2407"/>
      <c r="E18" s="2407"/>
      <c r="F18" s="2408"/>
      <c r="G18" s="2409" t="str">
        <f>COVER!T21</f>
        <v>815/235-3157</v>
      </c>
      <c r="H18" s="2410"/>
      <c r="I18" s="2410"/>
      <c r="J18" s="2410"/>
      <c r="K18" s="2409" t="str">
        <f>COVER!X21</f>
        <v>815/235-3158</v>
      </c>
      <c r="L18" s="241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0" t="str">
        <f>'Single Audit Cover'!A7</f>
        <v>Pearl City CUSD 200</v>
      </c>
      <c r="B1" s="2446"/>
      <c r="C1" s="2446"/>
      <c r="D1" s="2446"/>
    </row>
    <row r="2" spans="1:11" s="1215" customFormat="1" ht="12.75" x14ac:dyDescent="0.2">
      <c r="A2" s="2451">
        <f>'Single Audit Cover'!E7</f>
        <v>8089200026</v>
      </c>
      <c r="B2" s="2452"/>
      <c r="C2" s="2452"/>
      <c r="D2" s="2452"/>
    </row>
    <row r="3" spans="1:11" s="1215" customFormat="1" ht="12.75" x14ac:dyDescent="0.2">
      <c r="A3" s="2450" t="s">
        <v>1593</v>
      </c>
      <c r="B3" s="2446"/>
      <c r="C3" s="2446"/>
      <c r="D3" s="244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4" t="str">
        <f>'Single Audit Cover'!A7</f>
        <v>Pearl City CUSD 200</v>
      </c>
      <c r="B1" s="2454"/>
      <c r="C1" s="2454"/>
      <c r="D1" s="2454"/>
      <c r="E1" s="2454"/>
    </row>
    <row r="2" spans="1:5" x14ac:dyDescent="0.2">
      <c r="A2" s="2455">
        <f>'Single Audit Cover'!E7</f>
        <v>8089200026</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60" t="s">
        <v>1305</v>
      </c>
    </row>
    <row r="10" spans="1:5" x14ac:dyDescent="0.2">
      <c r="A10" s="1261" t="s">
        <v>1304</v>
      </c>
      <c r="B10" s="1262" t="s">
        <v>1303</v>
      </c>
      <c r="C10" s="1262"/>
      <c r="D10" s="1263">
        <f>SUM('Acct Summary 7-8'!C7:K7)</f>
        <v>400191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18618</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-26970</v>
      </c>
    </row>
    <row r="19" spans="1:4" ht="13.5" thickBot="1" x14ac:dyDescent="0.25">
      <c r="A19" s="1265" t="s">
        <v>1297</v>
      </c>
      <c r="D19" s="1266">
        <f>SUM(D10:D17)</f>
        <v>391839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6"/>
      <c r="B24" s="2456"/>
      <c r="D24" s="1268"/>
    </row>
    <row r="25" spans="1:4" x14ac:dyDescent="0.2">
      <c r="A25" s="2453"/>
      <c r="B25" s="2453"/>
      <c r="D25" s="1268"/>
    </row>
    <row r="26" spans="1:4" x14ac:dyDescent="0.2">
      <c r="A26" s="2453"/>
      <c r="B26" s="2453"/>
      <c r="D26" s="1268"/>
    </row>
    <row r="27" spans="1:4" x14ac:dyDescent="0.2">
      <c r="A27" s="2453"/>
      <c r="B27" s="2453"/>
      <c r="D27" s="1268"/>
    </row>
    <row r="28" spans="1:4" x14ac:dyDescent="0.2">
      <c r="A28" s="2453"/>
      <c r="B28" s="2453"/>
      <c r="D28" s="1268"/>
    </row>
    <row r="29" spans="1:4" x14ac:dyDescent="0.2">
      <c r="A29" s="2453"/>
      <c r="B29" s="2453"/>
      <c r="D29" s="1268"/>
    </row>
    <row r="30" spans="1:4" x14ac:dyDescent="0.2">
      <c r="A30" s="2453"/>
      <c r="B30" s="2453"/>
      <c r="D30" s="1268"/>
    </row>
    <row r="32" spans="1:4" x14ac:dyDescent="0.2">
      <c r="A32" s="1260" t="s">
        <v>1295</v>
      </c>
      <c r="D32" s="1263">
        <f>SUM(D19:D30)</f>
        <v>391839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3"/>
      <c r="B40" s="2453"/>
      <c r="D40" s="1268"/>
    </row>
    <row r="41" spans="1:4" x14ac:dyDescent="0.2">
      <c r="A41" s="2453"/>
      <c r="B41" s="2453"/>
      <c r="D41" s="1271"/>
    </row>
    <row r="42" spans="1:4" x14ac:dyDescent="0.2">
      <c r="A42" s="2453"/>
      <c r="B42" s="2453"/>
      <c r="D42" s="1271"/>
    </row>
    <row r="43" spans="1:4" x14ac:dyDescent="0.2">
      <c r="A43" s="2453"/>
      <c r="B43" s="2453"/>
      <c r="D43" s="1271"/>
    </row>
    <row r="44" spans="1:4" x14ac:dyDescent="0.2">
      <c r="A44" s="2453"/>
      <c r="B44" s="2453"/>
      <c r="D44" s="1271"/>
    </row>
    <row r="45" spans="1:4" x14ac:dyDescent="0.2">
      <c r="A45" s="2453"/>
      <c r="B45" s="2453"/>
      <c r="D45" s="1271"/>
    </row>
    <row r="47" spans="1:4" x14ac:dyDescent="0.2">
      <c r="B47" s="1272" t="s">
        <v>1289</v>
      </c>
      <c r="C47" s="1272"/>
      <c r="D47" s="1273">
        <f>SUM(D35:D45)</f>
        <v>0</v>
      </c>
    </row>
    <row r="49" spans="2:4" x14ac:dyDescent="0.2">
      <c r="B49" s="1272" t="s">
        <v>1288</v>
      </c>
      <c r="C49" s="1272"/>
      <c r="D49" s="1273">
        <f>D32-D47</f>
        <v>391839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Pearl City CUSD 200</v>
      </c>
      <c r="B1" s="2459"/>
      <c r="C1" s="2459"/>
      <c r="D1" s="2459"/>
      <c r="E1" s="2459"/>
      <c r="F1" s="2459"/>
    </row>
    <row r="2" spans="1:7" ht="13.5" customHeight="1" x14ac:dyDescent="0.2">
      <c r="A2" s="2460">
        <f>'Single Audit Cover'!E7</f>
        <v>8089200026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1" t="s">
        <v>1332</v>
      </c>
      <c r="D15" s="2464" t="s">
        <v>1331</v>
      </c>
      <c r="E15" s="2464"/>
      <c r="F15" s="2464"/>
    </row>
    <row r="16" spans="1:7" ht="13.5" customHeight="1" x14ac:dyDescent="0.2">
      <c r="A16" s="1282"/>
      <c r="B16" s="1276" t="s">
        <v>1330</v>
      </c>
      <c r="C16" s="1871" t="s">
        <v>1329</v>
      </c>
      <c r="D16" s="2465" t="s">
        <v>1670</v>
      </c>
      <c r="E16" s="2465"/>
      <c r="F16" s="2465"/>
    </row>
    <row r="17" spans="1:6" ht="20.45" customHeight="1" x14ac:dyDescent="0.2">
      <c r="A17" s="1283"/>
      <c r="B17" s="1284"/>
      <c r="C17" s="1285"/>
      <c r="D17" s="2463"/>
      <c r="E17" s="2463"/>
      <c r="F17" s="2463"/>
    </row>
    <row r="18" spans="1:6" ht="20.65" customHeight="1" x14ac:dyDescent="0.2">
      <c r="A18" s="1283"/>
      <c r="B18" s="1284"/>
      <c r="C18" s="1285"/>
      <c r="D18" s="2463"/>
      <c r="E18" s="2463"/>
      <c r="F18" s="2463"/>
    </row>
    <row r="19" spans="1:6" ht="20.65" customHeight="1" x14ac:dyDescent="0.2">
      <c r="A19" s="1283"/>
      <c r="B19" s="1284"/>
      <c r="C19" s="1285"/>
      <c r="D19" s="2463"/>
      <c r="E19" s="2463"/>
      <c r="F19" s="2463"/>
    </row>
    <row r="20" spans="1:6" ht="20.65" customHeight="1" x14ac:dyDescent="0.2">
      <c r="A20" s="1283"/>
      <c r="B20" s="1284"/>
      <c r="C20" s="1285"/>
      <c r="D20" s="2463"/>
      <c r="E20" s="2463"/>
      <c r="F20" s="2463"/>
    </row>
    <row r="21" spans="1:6" ht="20.65" customHeight="1" x14ac:dyDescent="0.2">
      <c r="A21" s="1283"/>
      <c r="B21" s="1284"/>
      <c r="C21" s="1285"/>
      <c r="D21" s="2463"/>
      <c r="E21" s="2463"/>
      <c r="F21" s="2463"/>
    </row>
    <row r="22" spans="1:6" ht="20.65" customHeight="1" x14ac:dyDescent="0.2">
      <c r="A22" s="1283"/>
      <c r="B22" s="1284"/>
      <c r="C22" s="1285"/>
      <c r="D22" s="2463"/>
      <c r="E22" s="2463"/>
      <c r="F22" s="2463"/>
    </row>
    <row r="23" spans="1:6" ht="20.65" customHeight="1" x14ac:dyDescent="0.2">
      <c r="A23" s="1283"/>
      <c r="B23" s="1284"/>
      <c r="C23" s="1285"/>
      <c r="D23" s="2463"/>
      <c r="E23" s="2463"/>
      <c r="F23" s="2463"/>
    </row>
    <row r="24" spans="1:6" ht="20.65" customHeight="1" x14ac:dyDescent="0.2">
      <c r="A24" s="1283"/>
      <c r="B24" s="1284"/>
      <c r="C24" s="1285"/>
      <c r="D24" s="2463"/>
      <c r="E24" s="2463"/>
      <c r="F24" s="2463"/>
    </row>
    <row r="25" spans="1:6" ht="20.65" customHeight="1" x14ac:dyDescent="0.2">
      <c r="A25" s="1283"/>
      <c r="B25" s="1284"/>
      <c r="C25" s="1285"/>
      <c r="D25" s="2463"/>
      <c r="E25" s="2463"/>
      <c r="F25" s="2463"/>
    </row>
    <row r="26" spans="1:6" ht="20.65" customHeight="1" x14ac:dyDescent="0.2">
      <c r="A26" s="1283"/>
      <c r="B26" s="1284"/>
      <c r="C26" s="1285"/>
      <c r="D26" s="2463"/>
      <c r="E26" s="2463"/>
      <c r="F26" s="2463"/>
    </row>
    <row r="27" spans="1:6" ht="20.65" customHeight="1" x14ac:dyDescent="0.2">
      <c r="A27" s="1283"/>
      <c r="B27" s="1284"/>
      <c r="C27" s="1285"/>
      <c r="D27" s="2463"/>
      <c r="E27" s="2463"/>
      <c r="F27" s="2463"/>
    </row>
    <row r="28" spans="1:6" ht="20.65" customHeight="1" x14ac:dyDescent="0.2">
      <c r="A28" s="1283"/>
      <c r="B28" s="1284"/>
      <c r="C28" s="1285"/>
      <c r="D28" s="2463"/>
      <c r="E28" s="2463"/>
      <c r="F28" s="2463"/>
    </row>
    <row r="29" spans="1:6" ht="20.65" customHeight="1" x14ac:dyDescent="0.2">
      <c r="A29" s="1283"/>
      <c r="B29" s="1284"/>
      <c r="C29" s="1285"/>
      <c r="D29" s="2463"/>
      <c r="E29" s="2463"/>
      <c r="F29" s="246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7" t="s">
        <v>1835</v>
      </c>
      <c r="B32" s="2467"/>
      <c r="C32" s="2467"/>
      <c r="D32" s="2467"/>
      <c r="E32" s="2467"/>
      <c r="F32" s="2467"/>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8">
        <f>+C33+C34</f>
        <v>0</v>
      </c>
      <c r="F34" s="246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0" t="s">
        <v>1672</v>
      </c>
      <c r="C49" s="2470"/>
      <c r="D49" s="2470"/>
      <c r="E49" s="1399"/>
    </row>
    <row r="50" spans="1:5" s="1300" customFormat="1" ht="3.75" customHeight="1" x14ac:dyDescent="0.2">
      <c r="A50" s="1299"/>
      <c r="B50" s="1870"/>
      <c r="C50" s="1870"/>
      <c r="D50" s="1870"/>
      <c r="E50" s="1399"/>
    </row>
    <row r="51" spans="1:5" s="1300" customFormat="1" ht="20.25" customHeight="1" x14ac:dyDescent="0.2">
      <c r="A51" s="1301">
        <v>6</v>
      </c>
      <c r="B51" s="2466" t="s">
        <v>1632</v>
      </c>
      <c r="C51" s="2466"/>
      <c r="D51" s="2466"/>
    </row>
    <row r="52" spans="1:5" ht="14.25" customHeight="1" x14ac:dyDescent="0.2">
      <c r="A52" s="1301"/>
      <c r="B52" s="2466"/>
      <c r="C52" s="2466"/>
      <c r="D52" s="246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5" t="str">
        <f>'Single Audit Cover'!A7</f>
        <v>Pearl City CUSD 200</v>
      </c>
      <c r="C1" s="2471"/>
      <c r="D1" s="2471"/>
      <c r="E1" s="2471"/>
      <c r="F1" s="2471"/>
      <c r="G1" s="2471"/>
      <c r="H1" s="2471"/>
      <c r="I1" s="2471"/>
      <c r="J1" s="2471"/>
      <c r="K1" s="2471"/>
      <c r="L1" s="2471"/>
      <c r="M1" s="2471"/>
    </row>
    <row r="2" spans="2:14" ht="15" x14ac:dyDescent="0.2">
      <c r="B2" s="2460">
        <f>'Single Audit Cover'!E7</f>
        <v>8089200026</v>
      </c>
      <c r="C2" s="2460"/>
      <c r="D2" s="2460"/>
      <c r="E2" s="2460"/>
      <c r="F2" s="2460"/>
      <c r="G2" s="2460"/>
      <c r="H2" s="2460"/>
      <c r="I2" s="2460"/>
      <c r="J2" s="2460"/>
      <c r="K2" s="2460"/>
      <c r="L2" s="2460"/>
      <c r="M2" s="2460"/>
      <c r="N2" s="1302"/>
    </row>
    <row r="3" spans="2:14" ht="15" x14ac:dyDescent="0.2">
      <c r="B3" s="2472" t="s">
        <v>1281</v>
      </c>
      <c r="C3" s="2472"/>
      <c r="D3" s="2472"/>
      <c r="E3" s="2472"/>
      <c r="F3" s="2472"/>
      <c r="G3" s="2472"/>
      <c r="H3" s="2472"/>
      <c r="I3" s="2472"/>
      <c r="J3" s="2472"/>
      <c r="K3" s="2472"/>
      <c r="L3" s="2472"/>
      <c r="M3" s="2472"/>
      <c r="N3" s="1302"/>
    </row>
    <row r="4" spans="2:14" ht="15" x14ac:dyDescent="0.2">
      <c r="B4" s="2473" t="str">
        <f>'Single Audit Cover'!A4</f>
        <v>Year Ending June 30, 2018</v>
      </c>
      <c r="C4" s="2473"/>
      <c r="D4" s="2473"/>
      <c r="E4" s="2473"/>
      <c r="F4" s="2473"/>
      <c r="G4" s="2473"/>
      <c r="H4" s="2473"/>
      <c r="I4" s="2473"/>
      <c r="J4" s="2473"/>
      <c r="K4" s="2473"/>
      <c r="L4" s="2473"/>
      <c r="M4" s="247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2088</v>
      </c>
      <c r="C53" s="179">
        <v>22</v>
      </c>
      <c r="D53" s="247" t="s">
        <v>1537</v>
      </c>
      <c r="E53" s="248"/>
      <c r="F53" s="249"/>
      <c r="G53" s="249" t="s">
        <v>1536</v>
      </c>
      <c r="H53" s="250">
        <v>35521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2077</v>
      </c>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Pearl City CUSD 200</v>
      </c>
      <c r="C1" s="2479"/>
      <c r="D1" s="2479"/>
      <c r="E1" s="2479"/>
      <c r="F1" s="2479"/>
      <c r="G1" s="2479"/>
      <c r="H1" s="2479"/>
      <c r="I1" s="2479"/>
      <c r="J1" s="1422"/>
    </row>
    <row r="2" spans="2:10" s="317" customFormat="1" ht="12.75" customHeight="1" x14ac:dyDescent="0.2">
      <c r="B2" s="2480">
        <f>'Single Audit Cover'!E7</f>
        <v>8089200026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92" t="s">
        <v>1675</v>
      </c>
      <c r="D43" s="2493"/>
      <c r="E43" s="2493"/>
      <c r="F43" s="2494"/>
      <c r="G43" s="2495">
        <f>SUM(G38:I42)</f>
        <v>0</v>
      </c>
      <c r="H43" s="2495"/>
      <c r="I43" s="2495"/>
    </row>
    <row r="44" spans="2:9" ht="12.75" customHeight="1" x14ac:dyDescent="0.2"/>
    <row r="45" spans="2:9" ht="12.75" customHeight="1" x14ac:dyDescent="0.2">
      <c r="B45" s="1435" t="s">
        <v>1952</v>
      </c>
      <c r="D45" s="2496">
        <v>0</v>
      </c>
      <c r="E45" s="249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8"/>
      <c r="F49" s="2498"/>
      <c r="G49" s="249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Pearl City CUSD 200</v>
      </c>
      <c r="C1" s="2478"/>
      <c r="D1" s="2478"/>
      <c r="E1" s="2478"/>
      <c r="F1" s="2478"/>
      <c r="G1" s="2478"/>
      <c r="H1" s="2478"/>
      <c r="I1" s="2478"/>
      <c r="J1" s="2478"/>
      <c r="K1" s="2478"/>
      <c r="L1" s="1374"/>
      <c r="M1" s="1374"/>
    </row>
    <row r="2" spans="1:13" ht="12" customHeight="1" x14ac:dyDescent="0.2">
      <c r="B2" s="2480">
        <f>'Single Audit Cover'!E7</f>
        <v>8089200026</v>
      </c>
      <c r="C2" s="2480"/>
      <c r="D2" s="2480"/>
      <c r="E2" s="2480"/>
      <c r="F2" s="2480"/>
      <c r="G2" s="2480"/>
      <c r="H2" s="2480"/>
      <c r="I2" s="2480"/>
      <c r="J2" s="2480"/>
      <c r="K2" s="2480"/>
      <c r="L2" s="1375"/>
      <c r="M2" s="1376"/>
    </row>
    <row r="3" spans="1:13" ht="10.35" customHeight="1" x14ac:dyDescent="0.2">
      <c r="B3" s="2501" t="s">
        <v>1347</v>
      </c>
      <c r="C3" s="2501"/>
      <c r="D3" s="2501"/>
      <c r="E3" s="2501"/>
      <c r="F3" s="2501"/>
      <c r="G3" s="2501"/>
      <c r="H3" s="2501"/>
      <c r="I3" s="2501"/>
      <c r="J3" s="2501"/>
      <c r="K3" s="2501"/>
      <c r="L3" s="1377"/>
      <c r="M3" s="1377"/>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2" t="s">
        <v>1363</v>
      </c>
      <c r="C7" s="2502"/>
      <c r="D7" s="2503"/>
      <c r="E7" s="2503"/>
      <c r="F7" s="2503"/>
      <c r="G7" s="2503"/>
      <c r="H7" s="2503"/>
      <c r="I7" s="2503"/>
      <c r="J7" s="2503"/>
      <c r="K7" s="250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0"/>
      <c r="C14" s="2500"/>
      <c r="D14" s="2500"/>
      <c r="E14" s="2500"/>
      <c r="F14" s="2500"/>
      <c r="G14" s="2500"/>
      <c r="H14" s="2500"/>
      <c r="I14" s="2500"/>
      <c r="J14" s="2500"/>
      <c r="K14" s="250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0"/>
      <c r="C17" s="2500"/>
      <c r="D17" s="2500"/>
      <c r="E17" s="2500"/>
      <c r="F17" s="2500"/>
      <c r="G17" s="2500"/>
      <c r="H17" s="2500"/>
      <c r="I17" s="2500"/>
      <c r="J17" s="2500"/>
      <c r="K17" s="250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4"/>
      <c r="C20" s="2504"/>
      <c r="D20" s="2500"/>
      <c r="E20" s="2500"/>
      <c r="F20" s="2500"/>
      <c r="G20" s="2500"/>
      <c r="H20" s="2500"/>
      <c r="I20" s="2500"/>
      <c r="J20" s="2500"/>
      <c r="K20" s="250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0"/>
      <c r="C23" s="2500"/>
      <c r="D23" s="2500"/>
      <c r="E23" s="2500"/>
      <c r="F23" s="2500"/>
      <c r="G23" s="2500"/>
      <c r="H23" s="2500"/>
      <c r="I23" s="2500"/>
      <c r="J23" s="2500"/>
      <c r="K23" s="250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0"/>
      <c r="C26" s="2500"/>
      <c r="D26" s="2500"/>
      <c r="E26" s="2500"/>
      <c r="F26" s="2500"/>
      <c r="G26" s="2500"/>
      <c r="H26" s="2500"/>
      <c r="I26" s="2500"/>
      <c r="J26" s="2500"/>
      <c r="K26" s="250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9"/>
      <c r="C29" s="2499"/>
      <c r="D29" s="2500"/>
      <c r="E29" s="2500"/>
      <c r="F29" s="2500"/>
      <c r="G29" s="2500"/>
      <c r="H29" s="2500"/>
      <c r="I29" s="2500"/>
      <c r="J29" s="2500"/>
      <c r="K29" s="250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9"/>
      <c r="C32" s="2499"/>
      <c r="D32" s="2500"/>
      <c r="E32" s="2500"/>
      <c r="F32" s="2500"/>
      <c r="G32" s="2500"/>
      <c r="H32" s="2500"/>
      <c r="I32" s="2500"/>
      <c r="J32" s="2500"/>
      <c r="K32" s="250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Pearl City CUSD 200</v>
      </c>
      <c r="C1" s="2505"/>
      <c r="D1" s="2505"/>
      <c r="E1" s="2505"/>
      <c r="F1" s="2505"/>
      <c r="G1" s="2505"/>
      <c r="H1" s="2505"/>
      <c r="I1" s="2505"/>
      <c r="J1" s="2505"/>
      <c r="K1" s="2505"/>
      <c r="L1" s="1465"/>
    </row>
    <row r="2" spans="1:12" ht="12.75" customHeight="1" x14ac:dyDescent="0.2">
      <c r="B2" s="2506">
        <f>'Single Audit Cover'!E7</f>
        <v>8089200026</v>
      </c>
      <c r="C2" s="2506"/>
      <c r="D2" s="2506"/>
      <c r="E2" s="2506"/>
      <c r="F2" s="2506"/>
      <c r="G2" s="2506"/>
      <c r="H2" s="2506"/>
      <c r="I2" s="2506"/>
      <c r="J2" s="2506"/>
      <c r="K2" s="2506"/>
      <c r="L2" s="1466"/>
    </row>
    <row r="3" spans="1:12" ht="12.75" customHeight="1" x14ac:dyDescent="0.2">
      <c r="B3" s="2501" t="s">
        <v>1347</v>
      </c>
      <c r="C3" s="2501"/>
      <c r="D3" s="2501"/>
      <c r="E3" s="2501"/>
      <c r="F3" s="2501"/>
      <c r="G3" s="2501"/>
      <c r="H3" s="2501"/>
      <c r="I3" s="2501"/>
      <c r="J3" s="2501"/>
      <c r="K3" s="2501"/>
      <c r="L3" s="1377"/>
    </row>
    <row r="4" spans="1:12" ht="12.75" customHeight="1" x14ac:dyDescent="0.2">
      <c r="B4" s="2501" t="str">
        <f>'Single Audit Cover'!A4</f>
        <v>Year Ending June 30, 2018</v>
      </c>
      <c r="C4" s="2501"/>
      <c r="D4" s="2501"/>
      <c r="E4" s="2501"/>
      <c r="F4" s="2501"/>
      <c r="G4" s="2501"/>
      <c r="H4" s="2501"/>
      <c r="I4" s="2501"/>
      <c r="J4" s="2501"/>
      <c r="K4" s="2501"/>
      <c r="L4" s="1377"/>
    </row>
    <row r="5" spans="1:12" ht="5.25" customHeight="1" x14ac:dyDescent="0.2">
      <c r="B5" s="1260" t="s">
        <v>1231</v>
      </c>
      <c r="C5" s="1260"/>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8"/>
      <c r="E14" s="2508"/>
      <c r="F14" s="2508"/>
      <c r="H14" s="1475" t="s">
        <v>1370</v>
      </c>
      <c r="I14" s="2509"/>
      <c r="J14" s="2509"/>
      <c r="K14" s="250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9"/>
      <c r="E16" s="2509"/>
      <c r="F16" s="2509"/>
      <c r="G16" s="2509"/>
      <c r="H16" s="2509"/>
      <c r="I16" s="2509"/>
      <c r="J16" s="2509"/>
      <c r="K16" s="2509"/>
      <c r="L16" s="322"/>
    </row>
    <row r="17" spans="2:12" ht="13.5" customHeight="1" x14ac:dyDescent="0.2">
      <c r="B17" s="1387" t="s">
        <v>1368</v>
      </c>
      <c r="C17" s="1387"/>
      <c r="D17" s="2510"/>
      <c r="E17" s="2510"/>
      <c r="F17" s="2510"/>
      <c r="G17" s="2510"/>
      <c r="H17" s="2510"/>
      <c r="I17" s="2510"/>
      <c r="J17" s="2510"/>
      <c r="K17" s="251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0"/>
      <c r="C20" s="2500"/>
      <c r="D20" s="2500"/>
      <c r="E20" s="2500"/>
      <c r="F20" s="2500"/>
      <c r="G20" s="2500"/>
      <c r="H20" s="2500"/>
      <c r="I20" s="2500"/>
      <c r="J20" s="2500"/>
      <c r="K20" s="250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Pearl City CUSD 200</v>
      </c>
      <c r="C1" s="2478"/>
      <c r="D1" s="2478"/>
      <c r="E1" s="1491"/>
    </row>
    <row r="2" spans="2:5" s="1282" customFormat="1" ht="12.75" customHeight="1" x14ac:dyDescent="0.2">
      <c r="B2" s="2480">
        <f>'Single Audit Cover'!E7</f>
        <v>8089200026</v>
      </c>
      <c r="C2" s="2480"/>
      <c r="D2" s="2480"/>
      <c r="E2" s="1492"/>
    </row>
    <row r="3" spans="2:5" ht="12.75" customHeight="1" x14ac:dyDescent="0.2">
      <c r="B3" s="2501" t="s">
        <v>1869</v>
      </c>
      <c r="C3" s="2501"/>
      <c r="D3" s="2501"/>
      <c r="E3" s="1274"/>
    </row>
    <row r="4" spans="2:5" s="1282" customFormat="1" ht="12.75" customHeight="1" x14ac:dyDescent="0.2">
      <c r="B4" s="2511" t="str">
        <f>'Single Audit Cover'!A4</f>
        <v>Year Ending June 30, 2018</v>
      </c>
      <c r="C4" s="2511"/>
      <c r="D4" s="251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53349524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3.3789E-2</v>
      </c>
      <c r="E10" s="356" t="s">
        <v>1062</v>
      </c>
      <c r="F10" s="355">
        <v>3.9575000000000001E-3</v>
      </c>
      <c r="G10" s="356" t="s">
        <v>1062</v>
      </c>
      <c r="H10" s="355">
        <v>2.4285000000000001E-3</v>
      </c>
      <c r="I10" s="356" t="s">
        <v>1063</v>
      </c>
      <c r="J10" s="1754">
        <f>ROUND(D10+F10+H10,5)</f>
        <v>4.018E-2</v>
      </c>
      <c r="K10" s="222"/>
      <c r="L10" s="355">
        <v>3.9290000000000001E-4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4831799</v>
      </c>
      <c r="E16" s="356"/>
      <c r="F16" s="1755">
        <f>SUM('Acct Summary 7-8'!C17,'Acct Summary 7-8'!D17,'Acct Summary 7-8'!F17)</f>
        <v>4980433</v>
      </c>
      <c r="G16" s="356"/>
      <c r="H16" s="1755">
        <f>SUM(D16-F16)</f>
        <v>-148634</v>
      </c>
      <c r="I16" s="222"/>
      <c r="J16" s="1755">
        <f>SUM('Acct Summary 7-8'!C81,'Acct Summary 7-8'!D81,'Acct Summary 7-8'!F81,'Acct Summary 7-8'!I81)</f>
        <v>1217538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7362234.3120000008</v>
      </c>
      <c r="I31" s="368"/>
      <c r="J31" s="222"/>
      <c r="K31" s="222"/>
      <c r="L31" s="222"/>
      <c r="M31" s="222"/>
    </row>
    <row r="32" spans="1:13" ht="13.35" customHeight="1" x14ac:dyDescent="0.2">
      <c r="B32" s="369" t="s">
        <v>2088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466665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Pearl City CUSD 200</v>
      </c>
      <c r="E7" s="391"/>
      <c r="G7" s="252"/>
      <c r="H7" s="387"/>
      <c r="I7" s="387"/>
      <c r="J7" s="387"/>
      <c r="K7" s="387"/>
      <c r="L7" s="329"/>
      <c r="M7" s="329"/>
      <c r="N7" s="329"/>
      <c r="O7" s="329"/>
      <c r="P7" s="329"/>
    </row>
    <row r="8" spans="1:18" ht="12.75" x14ac:dyDescent="0.2">
      <c r="A8" s="329"/>
      <c r="B8" s="329"/>
      <c r="C8" s="389" t="s">
        <v>1187</v>
      </c>
      <c r="D8" s="392">
        <f>COVER!A13</f>
        <v>8089200026</v>
      </c>
      <c r="E8" s="393"/>
      <c r="G8" s="329"/>
      <c r="H8" s="329"/>
      <c r="I8" s="329"/>
      <c r="J8" s="329"/>
      <c r="K8" s="329"/>
      <c r="L8" s="329"/>
      <c r="M8" s="329"/>
      <c r="N8" s="329"/>
      <c r="O8" s="329"/>
      <c r="P8" s="329"/>
    </row>
    <row r="9" spans="1:18" ht="12.75" x14ac:dyDescent="0.2">
      <c r="A9" s="329"/>
      <c r="B9" s="329"/>
      <c r="C9" s="389" t="s">
        <v>737</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1217538</v>
      </c>
      <c r="I12" s="404"/>
      <c r="J12" s="404"/>
      <c r="K12" s="405">
        <f>TRUNC((H12/H13*100000),5)/100000</f>
        <v>0.25403967859999999</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4792708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-39091</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4980433</v>
      </c>
      <c r="I17" s="404"/>
      <c r="J17" s="416"/>
      <c r="K17" s="405">
        <f>TRUNC((H17/H18*100000),5)/100000</f>
        <v>1.039168879</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4792708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-39091</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3.9327057999999999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1217355</v>
      </c>
      <c r="I24" s="422"/>
      <c r="J24" s="422"/>
      <c r="K24" s="423">
        <f>TRUNC(((H24/H25*100000)/100000),2)</f>
        <v>87.99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13834.536109999999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1822046.29317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466665</v>
      </c>
      <c r="I32" s="420"/>
      <c r="J32" s="420"/>
      <c r="K32" s="423">
        <f>TRUNC(100-((((H32/H33*100))*100)/100),2)</f>
        <v>93.66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7362234.3120000008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12" activePane="bottomLeft" state="frozen"/>
      <selection activeCell="T25" sqref="T25:AA25"/>
      <selection pane="bottomLeft" activeCell="T25" sqref="T25:AA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81"/>
      <c r="D3" s="1582"/>
      <c r="E3" s="1582"/>
      <c r="F3" s="1582"/>
      <c r="G3" s="1582"/>
      <c r="H3" s="1582"/>
      <c r="I3" s="1582"/>
      <c r="J3" s="1582"/>
      <c r="K3" s="1582"/>
      <c r="L3" s="1582"/>
      <c r="M3" s="1583"/>
      <c r="N3" s="1584"/>
    </row>
    <row r="4" spans="1:14" ht="13.5" customHeight="1" x14ac:dyDescent="0.2">
      <c r="A4" s="463" t="s">
        <v>1750</v>
      </c>
      <c r="B4" s="464"/>
      <c r="C4" s="465">
        <v>122559</v>
      </c>
      <c r="D4" s="466">
        <v>576406</v>
      </c>
      <c r="E4" s="466">
        <v>63207</v>
      </c>
      <c r="F4" s="466">
        <v>284161</v>
      </c>
      <c r="G4" s="466">
        <v>41043</v>
      </c>
      <c r="H4" s="466">
        <v>3506</v>
      </c>
      <c r="I4" s="466">
        <v>234229</v>
      </c>
      <c r="J4" s="467">
        <v>10414</v>
      </c>
      <c r="K4" s="466">
        <v>272299</v>
      </c>
      <c r="L4" s="466">
        <v>89975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122559</v>
      </c>
      <c r="D13" s="1759">
        <f t="shared" ref="D13:L13" si="0">SUM(D4:D12)</f>
        <v>576406</v>
      </c>
      <c r="E13" s="1759">
        <f t="shared" si="0"/>
        <v>63207</v>
      </c>
      <c r="F13" s="1759">
        <f t="shared" si="0"/>
        <v>284161</v>
      </c>
      <c r="G13" s="1759">
        <f t="shared" si="0"/>
        <v>41043</v>
      </c>
      <c r="H13" s="1759">
        <f t="shared" si="0"/>
        <v>3506</v>
      </c>
      <c r="I13" s="1759">
        <f t="shared" si="0"/>
        <v>234229</v>
      </c>
      <c r="J13" s="1759">
        <f t="shared" si="0"/>
        <v>10414</v>
      </c>
      <c r="K13" s="1759">
        <f t="shared" si="0"/>
        <v>272299</v>
      </c>
      <c r="L13" s="1759">
        <f t="shared" si="0"/>
        <v>89975</v>
      </c>
      <c r="M13" s="468"/>
      <c r="N13" s="469"/>
    </row>
    <row r="14" spans="1:14" ht="18" customHeight="1" thickTop="1" x14ac:dyDescent="0.2">
      <c r="A14" s="2135" t="s">
        <v>149</v>
      </c>
      <c r="B14" s="213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17968</v>
      </c>
      <c r="N16" s="484"/>
    </row>
    <row r="17" spans="1:14" s="485" customFormat="1" ht="12.75" customHeight="1" x14ac:dyDescent="0.2">
      <c r="A17" s="482" t="s">
        <v>1470</v>
      </c>
      <c r="B17" s="483">
        <v>230</v>
      </c>
      <c r="C17" s="477"/>
      <c r="D17" s="477"/>
      <c r="E17" s="477"/>
      <c r="F17" s="477"/>
      <c r="G17" s="477"/>
      <c r="H17" s="477"/>
      <c r="I17" s="477"/>
      <c r="J17" s="477"/>
      <c r="K17" s="477"/>
      <c r="L17" s="477"/>
      <c r="M17" s="467">
        <v>11147935</v>
      </c>
      <c r="N17" s="484"/>
    </row>
    <row r="18" spans="1:14" s="485" customFormat="1" ht="12.75" customHeight="1" x14ac:dyDescent="0.2">
      <c r="A18" s="482" t="s">
        <v>1471</v>
      </c>
      <c r="B18" s="483">
        <v>240</v>
      </c>
      <c r="C18" s="477"/>
      <c r="D18" s="477"/>
      <c r="E18" s="477"/>
      <c r="F18" s="477"/>
      <c r="G18" s="477"/>
      <c r="H18" s="477"/>
      <c r="I18" s="477"/>
      <c r="J18" s="477"/>
      <c r="K18" s="477"/>
      <c r="L18" s="477"/>
      <c r="M18" s="467">
        <v>310414</v>
      </c>
      <c r="N18" s="484"/>
    </row>
    <row r="19" spans="1:14" s="485" customFormat="1" ht="12.75" customHeight="1" x14ac:dyDescent="0.2">
      <c r="A19" s="482" t="s">
        <v>1472</v>
      </c>
      <c r="B19" s="483">
        <v>250</v>
      </c>
      <c r="C19" s="477"/>
      <c r="D19" s="477"/>
      <c r="E19" s="477"/>
      <c r="F19" s="477"/>
      <c r="G19" s="477"/>
      <c r="H19" s="477"/>
      <c r="I19" s="477"/>
      <c r="J19" s="477"/>
      <c r="K19" s="477"/>
      <c r="L19" s="477"/>
      <c r="M19" s="467">
        <v>1031044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63207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403458</v>
      </c>
    </row>
    <row r="23" spans="1:14" ht="13.5" customHeight="1" thickBot="1" x14ac:dyDescent="0.25">
      <c r="A23" s="1758" t="s">
        <v>664</v>
      </c>
      <c r="B23" s="1763"/>
      <c r="C23" s="468"/>
      <c r="D23" s="468"/>
      <c r="E23" s="468"/>
      <c r="F23" s="468"/>
      <c r="G23" s="468"/>
      <c r="H23" s="468"/>
      <c r="I23" s="468"/>
      <c r="J23" s="468"/>
      <c r="K23" s="468"/>
      <c r="L23" s="468"/>
      <c r="M23" s="1710">
        <f>SUM(M15:M22)</f>
        <v>12507361</v>
      </c>
      <c r="N23" s="1710">
        <f>SUM(N21:N22)</f>
        <v>466665</v>
      </c>
    </row>
    <row r="24" spans="1:14" ht="18" customHeight="1" thickTop="1" x14ac:dyDescent="0.2">
      <c r="A24" s="2137" t="s">
        <v>619</v>
      </c>
      <c r="B24" s="213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-183</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89975</v>
      </c>
      <c r="M33" s="468"/>
      <c r="N33" s="469"/>
    </row>
    <row r="34" spans="1:14" ht="13.5" customHeight="1" thickBot="1" x14ac:dyDescent="0.25">
      <c r="A34" s="1760" t="s">
        <v>675</v>
      </c>
      <c r="B34" s="1761"/>
      <c r="C34" s="1762">
        <f>SUM(C25:C33)</f>
        <v>-183</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89975</v>
      </c>
      <c r="M34" s="468"/>
      <c r="N34" s="480"/>
    </row>
    <row r="35" spans="1:14" ht="18" customHeight="1" thickTop="1" x14ac:dyDescent="0.2">
      <c r="A35" s="2139" t="s">
        <v>550</v>
      </c>
      <c r="B35" s="214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466665</v>
      </c>
    </row>
    <row r="37" spans="1:14" ht="13.5" thickBot="1" x14ac:dyDescent="0.25">
      <c r="A37" s="1758" t="s">
        <v>674</v>
      </c>
      <c r="B37" s="1763"/>
      <c r="C37" s="477"/>
      <c r="D37" s="477"/>
      <c r="E37" s="477"/>
      <c r="F37" s="477"/>
      <c r="G37" s="477"/>
      <c r="H37" s="477"/>
      <c r="I37" s="477"/>
      <c r="J37" s="477"/>
      <c r="K37" s="477"/>
      <c r="L37" s="480"/>
      <c r="M37" s="468"/>
      <c r="N37" s="1710">
        <f>SUM(N36:N36)</f>
        <v>466665</v>
      </c>
    </row>
    <row r="38" spans="1:14" s="329" customFormat="1" ht="13.5" customHeight="1" thickTop="1" x14ac:dyDescent="0.2">
      <c r="A38" s="496" t="s">
        <v>440</v>
      </c>
      <c r="B38" s="483">
        <v>714</v>
      </c>
      <c r="C38" s="466"/>
      <c r="D38" s="466"/>
      <c r="E38" s="466"/>
      <c r="F38" s="466"/>
      <c r="G38" s="466">
        <v>19425</v>
      </c>
      <c r="H38" s="466">
        <v>3506</v>
      </c>
      <c r="I38" s="466"/>
      <c r="J38" s="467"/>
      <c r="K38" s="466"/>
      <c r="L38" s="481"/>
      <c r="M38" s="497"/>
      <c r="N38" s="497"/>
    </row>
    <row r="39" spans="1:14" s="329" customFormat="1" ht="13.5" customHeight="1" x14ac:dyDescent="0.2">
      <c r="A39" s="496" t="s">
        <v>360</v>
      </c>
      <c r="B39" s="483">
        <v>730</v>
      </c>
      <c r="C39" s="466">
        <v>122742</v>
      </c>
      <c r="D39" s="466">
        <v>576406</v>
      </c>
      <c r="E39" s="466">
        <v>63207</v>
      </c>
      <c r="F39" s="466">
        <v>284161</v>
      </c>
      <c r="G39" s="466">
        <v>21618</v>
      </c>
      <c r="H39" s="466"/>
      <c r="I39" s="466">
        <v>234229</v>
      </c>
      <c r="J39" s="467">
        <v>10414</v>
      </c>
      <c r="K39" s="466">
        <v>272299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12507361</v>
      </c>
      <c r="N40" s="497"/>
    </row>
    <row r="41" spans="1:14" ht="13.5" customHeight="1" thickBot="1" x14ac:dyDescent="0.25">
      <c r="A41" s="1758" t="s">
        <v>676</v>
      </c>
      <c r="B41" s="1728"/>
      <c r="C41" s="1710">
        <f>(SUM(C34,C37,C38,C39))</f>
        <v>122559</v>
      </c>
      <c r="D41" s="1710">
        <f t="shared" ref="D41:L41" si="2">SUM(D34,D37,D38:D39)</f>
        <v>576406</v>
      </c>
      <c r="E41" s="1710">
        <f t="shared" si="2"/>
        <v>63207</v>
      </c>
      <c r="F41" s="1710">
        <f t="shared" si="2"/>
        <v>284161</v>
      </c>
      <c r="G41" s="1710">
        <f t="shared" si="2"/>
        <v>41043</v>
      </c>
      <c r="H41" s="1710">
        <f t="shared" si="2"/>
        <v>3506</v>
      </c>
      <c r="I41" s="1710">
        <f t="shared" si="2"/>
        <v>234229</v>
      </c>
      <c r="J41" s="1710">
        <f t="shared" si="2"/>
        <v>10414</v>
      </c>
      <c r="K41" s="1710">
        <f t="shared" si="2"/>
        <v>272299</v>
      </c>
      <c r="L41" s="1710">
        <f t="shared" si="2"/>
        <v>89975</v>
      </c>
      <c r="M41" s="1710">
        <f>SUM(M40)</f>
        <v>12507361</v>
      </c>
      <c r="N41" s="1710">
        <f>SUM(N37)</f>
        <v>466665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T25" sqref="T25:AA25"/>
      <selection pane="bottomLeft" activeCell="T25" sqref="T25:AA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1" t="s">
        <v>1237</v>
      </c>
      <c r="B3" s="2162"/>
      <c r="C3" s="1595"/>
      <c r="D3" s="1596"/>
      <c r="E3" s="1596"/>
      <c r="F3" s="1596"/>
      <c r="G3" s="1596"/>
      <c r="H3" s="1596"/>
      <c r="I3" s="1596"/>
      <c r="J3" s="1596"/>
      <c r="K3" s="1597"/>
      <c r="L3" s="506"/>
    </row>
    <row r="4" spans="1:13" ht="15.75" customHeight="1" x14ac:dyDescent="0.2">
      <c r="A4" s="1954" t="s">
        <v>1579</v>
      </c>
      <c r="B4" s="1955">
        <v>1000</v>
      </c>
      <c r="C4" s="1764">
        <f>'Revenues 9-14'!C109</f>
        <v>1930374</v>
      </c>
      <c r="D4" s="1764">
        <f>'Revenues 9-14'!D109</f>
        <v>357753</v>
      </c>
      <c r="E4" s="1764">
        <f>'Revenues 9-14'!E109</f>
        <v>601219</v>
      </c>
      <c r="F4" s="1764">
        <f>'Revenues 9-14'!F109</f>
        <v>115847</v>
      </c>
      <c r="G4" s="1764">
        <f>'Revenues 9-14'!G109</f>
        <v>188821</v>
      </c>
      <c r="H4" s="1764">
        <f>'Revenues 9-14'!H109</f>
        <v>0</v>
      </c>
      <c r="I4" s="1764">
        <f>'Revenues 9-14'!I109</f>
        <v>21287</v>
      </c>
      <c r="J4" s="1764">
        <f>'Revenues 9-14'!J109</f>
        <v>113692</v>
      </c>
      <c r="K4" s="1764">
        <f>'Revenues 9-14'!K109</f>
        <v>27841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1843349</v>
      </c>
      <c r="D6" s="1765">
        <f>'Revenues 9-14'!D173</f>
        <v>0</v>
      </c>
      <c r="E6" s="1765">
        <f>'Revenues 9-14'!E173</f>
        <v>0</v>
      </c>
      <c r="F6" s="1765">
        <f>'Revenues 9-14'!F173</f>
        <v>162998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400191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4173914</v>
      </c>
      <c r="D8" s="1710">
        <f t="shared" ref="D8:K8" si="0">SUM(D4:D7)</f>
        <v>357753</v>
      </c>
      <c r="E8" s="1710">
        <f t="shared" si="0"/>
        <v>601219</v>
      </c>
      <c r="F8" s="1710">
        <f t="shared" si="0"/>
        <v>278845</v>
      </c>
      <c r="G8" s="1710">
        <f t="shared" si="0"/>
        <v>188821</v>
      </c>
      <c r="H8" s="1710">
        <f t="shared" si="0"/>
        <v>0</v>
      </c>
      <c r="I8" s="1710">
        <f t="shared" si="0"/>
        <v>21287</v>
      </c>
      <c r="J8" s="1710">
        <f t="shared" si="0"/>
        <v>113692</v>
      </c>
      <c r="K8" s="1710">
        <f t="shared" si="0"/>
        <v>27841</v>
      </c>
      <c r="L8" s="347"/>
    </row>
    <row r="9" spans="1:13" ht="15.75" thickTop="1" x14ac:dyDescent="0.2">
      <c r="A9" s="514" t="s">
        <v>1752</v>
      </c>
      <c r="B9" s="515">
        <v>3998</v>
      </c>
      <c r="C9" s="481">
        <v>269168</v>
      </c>
      <c r="D9" s="516"/>
      <c r="E9" s="481"/>
      <c r="F9" s="481"/>
      <c r="G9" s="517"/>
      <c r="H9" s="481"/>
      <c r="I9" s="509" t="s">
        <v>1231</v>
      </c>
      <c r="J9" s="478"/>
      <c r="K9" s="481"/>
      <c r="L9" s="347"/>
    </row>
    <row r="10" spans="1:13" s="519" customFormat="1" ht="13.5" thickBot="1" x14ac:dyDescent="0.25">
      <c r="A10" s="1758" t="s">
        <v>1235</v>
      </c>
      <c r="B10" s="1731"/>
      <c r="C10" s="1710">
        <f>SUM(C8:C9)</f>
        <v>4443082</v>
      </c>
      <c r="D10" s="1710">
        <f t="shared" ref="D10:K10" si="1">SUM(D8:D9)</f>
        <v>357753</v>
      </c>
      <c r="E10" s="1710">
        <f t="shared" si="1"/>
        <v>601219</v>
      </c>
      <c r="F10" s="1710">
        <f t="shared" si="1"/>
        <v>278845</v>
      </c>
      <c r="G10" s="1710">
        <f t="shared" si="1"/>
        <v>188821</v>
      </c>
      <c r="H10" s="1710">
        <f t="shared" si="1"/>
        <v>0</v>
      </c>
      <c r="I10" s="1710">
        <f t="shared" si="1"/>
        <v>21287</v>
      </c>
      <c r="J10" s="1710">
        <f t="shared" si="1"/>
        <v>113692</v>
      </c>
      <c r="K10" s="1710">
        <f t="shared" si="1"/>
        <v>27841</v>
      </c>
      <c r="L10" s="518"/>
    </row>
    <row r="11" spans="1:13" s="519" customFormat="1" ht="16.7" customHeight="1" thickTop="1" x14ac:dyDescent="0.2">
      <c r="A11" s="2135" t="s">
        <v>1238</v>
      </c>
      <c r="B11" s="2136"/>
      <c r="C11" s="1592"/>
      <c r="D11" s="1593"/>
      <c r="E11" s="1593"/>
      <c r="F11" s="1593"/>
      <c r="G11" s="1593"/>
      <c r="H11" s="1593"/>
      <c r="I11" s="1593"/>
      <c r="J11" s="1593"/>
      <c r="K11" s="1594"/>
      <c r="L11" s="518"/>
    </row>
    <row r="12" spans="1:13" ht="15.75" customHeight="1" x14ac:dyDescent="0.2">
      <c r="A12" s="1598" t="s">
        <v>476</v>
      </c>
      <c r="B12" s="1600">
        <v>1000</v>
      </c>
      <c r="C12" s="1764">
        <f>'Expenditures 15-22'!K33</f>
        <v>2934593</v>
      </c>
      <c r="D12" s="520" t="s">
        <v>1231</v>
      </c>
      <c r="E12" s="468" t="s">
        <v>1231</v>
      </c>
      <c r="F12" s="468" t="s">
        <v>1231</v>
      </c>
      <c r="G12" s="1764">
        <f>'Expenditures 15-22'!K229</f>
        <v>69555</v>
      </c>
      <c r="H12" s="521"/>
      <c r="I12" s="468" t="s">
        <v>1231</v>
      </c>
      <c r="J12" s="468" t="s">
        <v>1231</v>
      </c>
      <c r="K12" s="521" t="s">
        <v>1231</v>
      </c>
      <c r="L12" s="347"/>
    </row>
    <row r="13" spans="1:13" ht="15.75" customHeight="1" x14ac:dyDescent="0.2">
      <c r="A13" s="1598" t="s">
        <v>477</v>
      </c>
      <c r="B13" s="1600">
        <v>2000</v>
      </c>
      <c r="C13" s="1765">
        <f>'Expenditures 15-22'!K74</f>
        <v>1001196</v>
      </c>
      <c r="D13" s="1765">
        <f>'Expenditures 15-22'!K129</f>
        <v>407115</v>
      </c>
      <c r="E13" s="469" t="s">
        <v>1231</v>
      </c>
      <c r="F13" s="1765">
        <f>'Expenditures 15-22'!K184</f>
        <v>276641</v>
      </c>
      <c r="G13" s="1765">
        <f>'Expenditures 15-22'!K279</f>
        <v>82999</v>
      </c>
      <c r="H13" s="1765">
        <f>'Expenditures 15-22'!K303</f>
        <v>0</v>
      </c>
      <c r="I13" s="468" t="s">
        <v>1231</v>
      </c>
      <c r="J13" s="1765">
        <f>'Expenditures 15-22'!K330</f>
        <v>111043</v>
      </c>
      <c r="K13" s="1769">
        <f>'Expenditures 15-22'!K352</f>
        <v>686</v>
      </c>
      <c r="L13" s="347"/>
    </row>
    <row r="14" spans="1:13" ht="15.75" customHeight="1" x14ac:dyDescent="0.2">
      <c r="A14" s="1598" t="s">
        <v>469</v>
      </c>
      <c r="B14" s="1600">
        <v>3000</v>
      </c>
      <c r="C14" s="1765">
        <f>'Expenditures 15-22'!K75</f>
        <v>115236</v>
      </c>
      <c r="D14" s="1765">
        <f>'Expenditures 15-22'!K130</f>
        <v>0</v>
      </c>
      <c r="E14" s="520" t="s">
        <v>1231</v>
      </c>
      <c r="F14" s="1765">
        <f>'Expenditures 15-22'!K185</f>
        <v>0</v>
      </c>
      <c r="G14" s="1765">
        <f>'Expenditures 15-22'!K280</f>
        <v>19005</v>
      </c>
      <c r="H14" s="512"/>
      <c r="I14" s="468" t="s">
        <v>1231</v>
      </c>
      <c r="J14" s="468" t="s">
        <v>1231</v>
      </c>
      <c r="K14" s="512" t="s">
        <v>1231</v>
      </c>
      <c r="L14" s="347"/>
    </row>
    <row r="15" spans="1:13" ht="15.75" customHeight="1" x14ac:dyDescent="0.2">
      <c r="A15" s="1598" t="s">
        <v>109</v>
      </c>
      <c r="B15" s="1600">
        <v>4000</v>
      </c>
      <c r="C15" s="1765">
        <f>'Expenditures 15-22'!K102</f>
        <v>245652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634091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4296677</v>
      </c>
      <c r="D17" s="1710">
        <f t="shared" si="2"/>
        <v>407115</v>
      </c>
      <c r="E17" s="1710">
        <f t="shared" si="2"/>
        <v>634091</v>
      </c>
      <c r="F17" s="1710">
        <f t="shared" si="2"/>
        <v>276641</v>
      </c>
      <c r="G17" s="1710">
        <f t="shared" si="2"/>
        <v>171559</v>
      </c>
      <c r="H17" s="1710">
        <f t="shared" si="2"/>
        <v>0</v>
      </c>
      <c r="I17" s="468"/>
      <c r="J17" s="1710">
        <f>SUM(J12:J16)</f>
        <v>111043</v>
      </c>
      <c r="K17" s="1710">
        <f>SUM(K12:K16)</f>
        <v>686</v>
      </c>
      <c r="L17" s="347"/>
    </row>
    <row r="18" spans="1:12" ht="15" customHeight="1" thickTop="1" x14ac:dyDescent="0.2">
      <c r="A18" s="1766" t="s">
        <v>1753</v>
      </c>
      <c r="B18" s="1767">
        <v>4180</v>
      </c>
      <c r="C18" s="1764">
        <f t="shared" ref="C18:H18" si="3">C9</f>
        <v>269168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4565845</v>
      </c>
      <c r="D19" s="1710">
        <f t="shared" si="4"/>
        <v>407115</v>
      </c>
      <c r="E19" s="1710">
        <f t="shared" si="4"/>
        <v>634091</v>
      </c>
      <c r="F19" s="1710">
        <f t="shared" si="4"/>
        <v>276641</v>
      </c>
      <c r="G19" s="1710">
        <f t="shared" si="4"/>
        <v>171559</v>
      </c>
      <c r="H19" s="1710">
        <f t="shared" si="4"/>
        <v>0</v>
      </c>
      <c r="I19" s="468"/>
      <c r="J19" s="1710">
        <f>SUM(J17:J18)</f>
        <v>111043</v>
      </c>
      <c r="K19" s="1710">
        <f>SUM(K17:K18)</f>
        <v>686</v>
      </c>
      <c r="L19" s="347"/>
    </row>
    <row r="20" spans="1:12" ht="16.5" thickTop="1" thickBot="1" x14ac:dyDescent="0.25">
      <c r="A20" s="2151" t="s">
        <v>1754</v>
      </c>
      <c r="B20" s="2152"/>
      <c r="C20" s="1768">
        <f>C8-C17</f>
        <v>-122763</v>
      </c>
      <c r="D20" s="1768">
        <f t="shared" ref="D20:K20" si="5">D8-D17</f>
        <v>-49362</v>
      </c>
      <c r="E20" s="1768">
        <f t="shared" si="5"/>
        <v>-32872</v>
      </c>
      <c r="F20" s="1768">
        <f t="shared" si="5"/>
        <v>2204</v>
      </c>
      <c r="G20" s="1768">
        <f t="shared" si="5"/>
        <v>17262</v>
      </c>
      <c r="H20" s="1768">
        <f t="shared" si="5"/>
        <v>0</v>
      </c>
      <c r="I20" s="1768">
        <f t="shared" si="5"/>
        <v>21287</v>
      </c>
      <c r="J20" s="1768">
        <f t="shared" si="5"/>
        <v>2649</v>
      </c>
      <c r="K20" s="1768">
        <f t="shared" si="5"/>
        <v>27155</v>
      </c>
      <c r="L20" s="347"/>
    </row>
    <row r="21" spans="1:12" ht="16.7" customHeight="1" thickTop="1" x14ac:dyDescent="0.2">
      <c r="A21" s="2163" t="s">
        <v>616</v>
      </c>
      <c r="B21" s="2164"/>
      <c r="C21" s="1592"/>
      <c r="D21" s="1593"/>
      <c r="E21" s="1593"/>
      <c r="F21" s="1593"/>
      <c r="G21" s="1593"/>
      <c r="H21" s="1593"/>
      <c r="I21" s="1593"/>
      <c r="J21" s="1593"/>
      <c r="K21" s="1594"/>
      <c r="L21" s="524"/>
    </row>
    <row r="22" spans="1:12" ht="15.75" customHeight="1" collapsed="1" x14ac:dyDescent="0.2">
      <c r="A22" s="2159" t="s">
        <v>617</v>
      </c>
      <c r="B22" s="2160"/>
      <c r="C22" s="477"/>
      <c r="D22" s="477"/>
      <c r="E22" s="477"/>
      <c r="F22" s="477"/>
      <c r="G22" s="477"/>
      <c r="H22" s="477"/>
      <c r="I22" s="477"/>
      <c r="J22" s="477"/>
      <c r="K22" s="477"/>
      <c r="L22" s="347"/>
    </row>
    <row r="23" spans="1:12" s="485" customFormat="1" ht="15.75" customHeight="1" x14ac:dyDescent="0.2">
      <c r="A23" s="2155" t="s">
        <v>311</v>
      </c>
      <c r="B23" s="215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100000</v>
      </c>
      <c r="D25" s="467"/>
      <c r="E25" s="467"/>
      <c r="F25" s="467"/>
      <c r="G25" s="467"/>
      <c r="H25" s="467"/>
      <c r="I25" s="477"/>
      <c r="J25" s="467"/>
      <c r="K25" s="467"/>
      <c r="L25" s="524"/>
    </row>
    <row r="26" spans="1:12" s="485" customFormat="1" ht="13.5" customHeight="1" x14ac:dyDescent="0.2">
      <c r="A26" s="1511" t="s">
        <v>193</v>
      </c>
      <c r="B26" s="483">
        <v>7120</v>
      </c>
      <c r="C26" s="467">
        <v>3649</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v>2733</v>
      </c>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7" t="s">
        <v>1038</v>
      </c>
      <c r="B32" s="215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1080</v>
      </c>
      <c r="D36" s="467"/>
      <c r="E36" s="467"/>
      <c r="F36" s="467"/>
      <c r="G36" s="467"/>
      <c r="H36" s="467"/>
      <c r="I36" s="475"/>
      <c r="J36" s="467"/>
      <c r="K36" s="467"/>
      <c r="L36" s="524"/>
    </row>
    <row r="37" spans="1:12" s="485" customFormat="1" x14ac:dyDescent="0.2">
      <c r="A37" s="1511" t="s">
        <v>461</v>
      </c>
      <c r="B37" s="525">
        <v>7400</v>
      </c>
      <c r="C37" s="475"/>
      <c r="D37" s="475"/>
      <c r="E37" s="1765">
        <f>SUM(C54:D57,H54:H57)</f>
        <v>38396</v>
      </c>
      <c r="F37" s="475"/>
      <c r="G37" s="475"/>
      <c r="H37" s="475"/>
      <c r="I37" s="477"/>
      <c r="J37" s="475"/>
      <c r="K37" s="475"/>
      <c r="L37" s="524"/>
    </row>
    <row r="38" spans="1:12" s="485" customFormat="1" x14ac:dyDescent="0.2">
      <c r="A38" s="1511" t="s">
        <v>462</v>
      </c>
      <c r="B38" s="525">
        <v>7500</v>
      </c>
      <c r="C38" s="477"/>
      <c r="D38" s="477"/>
      <c r="E38" s="1765">
        <f>SUM(C58:D61,H58:H61)</f>
        <v>695</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53253</v>
      </c>
      <c r="D43" s="467"/>
      <c r="E43" s="467"/>
      <c r="F43" s="467"/>
      <c r="G43" s="467"/>
      <c r="H43" s="467"/>
      <c r="I43" s="467"/>
      <c r="J43" s="467"/>
      <c r="K43" s="467"/>
      <c r="L43" s="524"/>
    </row>
    <row r="44" spans="1:12" s="485" customFormat="1" ht="13.5" customHeight="1" thickBot="1" x14ac:dyDescent="0.25">
      <c r="A44" s="2165" t="s">
        <v>392</v>
      </c>
      <c r="B44" s="2166"/>
      <c r="C44" s="1725">
        <f>SUM(C24:C43)</f>
        <v>160715</v>
      </c>
      <c r="D44" s="1725">
        <f t="shared" ref="D44:K44" si="6">SUM(D24:D43)</f>
        <v>0</v>
      </c>
      <c r="E44" s="1725">
        <f t="shared" si="6"/>
        <v>39091</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100000</v>
      </c>
      <c r="J47" s="477"/>
      <c r="K47" s="477"/>
      <c r="L47" s="529"/>
    </row>
    <row r="48" spans="1:12" s="485" customFormat="1" ht="15" x14ac:dyDescent="0.2">
      <c r="A48" s="1512" t="s">
        <v>1759</v>
      </c>
      <c r="B48" s="483">
        <v>8120</v>
      </c>
      <c r="C48" s="480"/>
      <c r="D48" s="480"/>
      <c r="E48" s="477"/>
      <c r="F48" s="480"/>
      <c r="G48" s="477"/>
      <c r="H48" s="477"/>
      <c r="I48" s="1765">
        <f>SUM(C26:H26,J26,K26)</f>
        <v>3649</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v>2733</v>
      </c>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38396</v>
      </c>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v>695</v>
      </c>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1" t="s">
        <v>460</v>
      </c>
      <c r="B76" s="2142"/>
      <c r="C76" s="1725">
        <f t="shared" ref="C76:K76" si="7">SUM(C47:C75)</f>
        <v>39091</v>
      </c>
      <c r="D76" s="1725">
        <f t="shared" si="7"/>
        <v>0</v>
      </c>
      <c r="E76" s="1725">
        <f t="shared" si="7"/>
        <v>2733</v>
      </c>
      <c r="F76" s="1725">
        <f t="shared" si="7"/>
        <v>0</v>
      </c>
      <c r="G76" s="1725">
        <f t="shared" si="7"/>
        <v>0</v>
      </c>
      <c r="H76" s="1725">
        <f t="shared" si="7"/>
        <v>0</v>
      </c>
      <c r="I76" s="1725">
        <f t="shared" si="7"/>
        <v>103649</v>
      </c>
      <c r="J76" s="1725">
        <f t="shared" si="7"/>
        <v>0</v>
      </c>
      <c r="K76" s="1725">
        <f t="shared" si="7"/>
        <v>0</v>
      </c>
      <c r="L76" s="524"/>
    </row>
    <row r="77" spans="1:12" ht="14.25" thickTop="1" thickBot="1" x14ac:dyDescent="0.25">
      <c r="A77" s="2143" t="s">
        <v>1239</v>
      </c>
      <c r="B77" s="2144"/>
      <c r="C77" s="1725">
        <f t="shared" ref="C77:K77" si="8">C44-C76</f>
        <v>121624</v>
      </c>
      <c r="D77" s="1725">
        <f t="shared" si="8"/>
        <v>0</v>
      </c>
      <c r="E77" s="1725">
        <f t="shared" si="8"/>
        <v>36358</v>
      </c>
      <c r="F77" s="1725">
        <f t="shared" si="8"/>
        <v>0</v>
      </c>
      <c r="G77" s="1725">
        <f t="shared" si="8"/>
        <v>0</v>
      </c>
      <c r="H77" s="1725">
        <f t="shared" si="8"/>
        <v>0</v>
      </c>
      <c r="I77" s="1725">
        <f t="shared" si="8"/>
        <v>-103649</v>
      </c>
      <c r="J77" s="1725">
        <f t="shared" si="8"/>
        <v>0</v>
      </c>
      <c r="K77" s="1725">
        <f t="shared" si="8"/>
        <v>0</v>
      </c>
      <c r="L77" s="347"/>
    </row>
    <row r="78" spans="1:12" ht="21.75" customHeight="1" thickTop="1" thickBot="1" x14ac:dyDescent="0.25">
      <c r="A78" s="2147" t="s">
        <v>618</v>
      </c>
      <c r="B78" s="2148"/>
      <c r="C78" s="1724">
        <f t="shared" ref="C78:K78" si="9">C20+C77</f>
        <v>-1139</v>
      </c>
      <c r="D78" s="1724">
        <f t="shared" si="9"/>
        <v>-49362</v>
      </c>
      <c r="E78" s="1724">
        <f t="shared" si="9"/>
        <v>3486</v>
      </c>
      <c r="F78" s="1724">
        <f t="shared" si="9"/>
        <v>2204</v>
      </c>
      <c r="G78" s="1724">
        <f t="shared" si="9"/>
        <v>17262</v>
      </c>
      <c r="H78" s="1724">
        <f t="shared" si="9"/>
        <v>0</v>
      </c>
      <c r="I78" s="1724">
        <f t="shared" si="9"/>
        <v>-82362</v>
      </c>
      <c r="J78" s="1724">
        <f t="shared" si="9"/>
        <v>2649</v>
      </c>
      <c r="K78" s="1724">
        <f t="shared" si="9"/>
        <v>27155</v>
      </c>
      <c r="L78" s="533"/>
    </row>
    <row r="79" spans="1:12" ht="13.5" thickTop="1" x14ac:dyDescent="0.2">
      <c r="A79" s="1516" t="s">
        <v>2073</v>
      </c>
      <c r="B79" s="534"/>
      <c r="C79" s="478">
        <v>123881</v>
      </c>
      <c r="D79" s="535">
        <v>625768</v>
      </c>
      <c r="E79" s="535">
        <v>59721</v>
      </c>
      <c r="F79" s="535">
        <v>281957</v>
      </c>
      <c r="G79" s="535">
        <v>23781</v>
      </c>
      <c r="H79" s="535">
        <v>3506</v>
      </c>
      <c r="I79" s="535">
        <v>316591</v>
      </c>
      <c r="J79" s="535">
        <v>7765</v>
      </c>
      <c r="K79" s="535">
        <v>245144</v>
      </c>
      <c r="L79" s="347"/>
    </row>
    <row r="80" spans="1:12" x14ac:dyDescent="0.2">
      <c r="A80" s="2153" t="s">
        <v>1898</v>
      </c>
      <c r="B80" s="2154"/>
      <c r="C80" s="467"/>
      <c r="D80" s="467"/>
      <c r="E80" s="467"/>
      <c r="F80" s="467"/>
      <c r="G80" s="467"/>
      <c r="H80" s="467"/>
      <c r="I80" s="467"/>
      <c r="J80" s="467"/>
      <c r="K80" s="467"/>
      <c r="L80" s="347"/>
    </row>
    <row r="81" spans="1:12" ht="13.5" thickBot="1" x14ac:dyDescent="0.25">
      <c r="A81" s="2145" t="s">
        <v>2074</v>
      </c>
      <c r="B81" s="2146"/>
      <c r="C81" s="1710">
        <f>(SUM(C78:C80))</f>
        <v>122742</v>
      </c>
      <c r="D81" s="1710">
        <f>SUM(D78:D80)</f>
        <v>576406</v>
      </c>
      <c r="E81" s="1710">
        <f t="shared" ref="E81:K81" si="10">SUM(E78:E80)</f>
        <v>63207</v>
      </c>
      <c r="F81" s="1710">
        <f t="shared" si="10"/>
        <v>284161</v>
      </c>
      <c r="G81" s="1710">
        <f t="shared" si="10"/>
        <v>41043</v>
      </c>
      <c r="H81" s="1710">
        <f t="shared" si="10"/>
        <v>3506</v>
      </c>
      <c r="I81" s="1710">
        <f t="shared" si="10"/>
        <v>234229</v>
      </c>
      <c r="J81" s="1710">
        <f t="shared" si="10"/>
        <v>10414</v>
      </c>
      <c r="K81" s="1710">
        <f t="shared" si="10"/>
        <v>272299</v>
      </c>
      <c r="L81" s="347"/>
    </row>
    <row r="82" spans="1:12" ht="0.75" customHeight="1" thickTop="1" thickBot="1" x14ac:dyDescent="0.25">
      <c r="A82" s="536" t="s">
        <v>361</v>
      </c>
      <c r="B82" s="537"/>
      <c r="C82" s="538">
        <f>(C81-C79)</f>
        <v>-1139</v>
      </c>
      <c r="D82" s="538">
        <f t="shared" ref="D82:K82" si="11">(D81-D79)</f>
        <v>-49362</v>
      </c>
      <c r="E82" s="538">
        <f t="shared" si="11"/>
        <v>3486</v>
      </c>
      <c r="F82" s="538">
        <f t="shared" si="11"/>
        <v>2204</v>
      </c>
      <c r="G82" s="538">
        <f t="shared" si="11"/>
        <v>17262</v>
      </c>
      <c r="H82" s="538">
        <f t="shared" si="11"/>
        <v>0</v>
      </c>
      <c r="I82" s="538">
        <f t="shared" si="11"/>
        <v>-82362</v>
      </c>
      <c r="J82" s="538">
        <f t="shared" si="11"/>
        <v>2649</v>
      </c>
      <c r="K82" s="538">
        <f t="shared" si="11"/>
        <v>27155</v>
      </c>
    </row>
    <row r="83" spans="1:12" ht="14.25" hidden="1" thickTop="1" thickBot="1" x14ac:dyDescent="0.25">
      <c r="A83" s="539" t="s">
        <v>362</v>
      </c>
      <c r="B83" s="464"/>
      <c r="C83" s="540">
        <f>C82/C81</f>
        <v>-9.2796271854784836E-3</v>
      </c>
      <c r="D83" s="540">
        <f t="shared" ref="D83:K83" si="12">D82/D81</f>
        <v>-8.5637554085141371E-2</v>
      </c>
      <c r="E83" s="540">
        <f t="shared" si="12"/>
        <v>5.5152119227300775E-2</v>
      </c>
      <c r="F83" s="540">
        <f t="shared" si="12"/>
        <v>7.7561663986261313E-3</v>
      </c>
      <c r="G83" s="540">
        <f t="shared" si="12"/>
        <v>0.42058329069512462</v>
      </c>
      <c r="H83" s="540">
        <f t="shared" si="12"/>
        <v>0</v>
      </c>
      <c r="I83" s="540">
        <f t="shared" si="12"/>
        <v>-0.35163024219887373</v>
      </c>
      <c r="J83" s="540">
        <f t="shared" si="12"/>
        <v>0.25436911849433452</v>
      </c>
      <c r="K83" s="540">
        <f t="shared" si="12"/>
        <v>9.9724934722492553E-2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114" activePane="bottomLeft" state="frozen"/>
      <selection activeCell="T25" sqref="T25:AA25"/>
      <selection pane="bottomLeft" activeCell="T25" sqref="T25:AA2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1905</v>
      </c>
      <c r="B1" s="452"/>
      <c r="C1" s="453" t="s">
        <v>445</v>
      </c>
      <c r="D1" s="453" t="s">
        <v>446</v>
      </c>
      <c r="E1" s="453" t="s">
        <v>447</v>
      </c>
      <c r="F1" s="453" t="s">
        <v>448</v>
      </c>
      <c r="G1" s="453" t="s">
        <v>449</v>
      </c>
      <c r="H1" s="453" t="s">
        <v>450</v>
      </c>
      <c r="I1" s="453" t="s">
        <v>451</v>
      </c>
      <c r="J1" s="453" t="s">
        <v>452</v>
      </c>
      <c r="K1" s="453" t="s">
        <v>780</v>
      </c>
    </row>
    <row r="2" spans="1:12" ht="36" x14ac:dyDescent="0.2">
      <c r="A2" s="215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1386607</v>
      </c>
      <c r="D5" s="481">
        <v>293525</v>
      </c>
      <c r="E5" s="466">
        <v>598486</v>
      </c>
      <c r="F5" s="548">
        <v>108987</v>
      </c>
      <c r="G5" s="466">
        <v>68143</v>
      </c>
      <c r="H5" s="466"/>
      <c r="I5" s="466">
        <v>17638</v>
      </c>
      <c r="J5" s="467">
        <v>112748</v>
      </c>
      <c r="K5" s="466">
        <v>26104</v>
      </c>
    </row>
    <row r="6" spans="1:12" ht="15" x14ac:dyDescent="0.2">
      <c r="A6" s="463" t="s">
        <v>1761</v>
      </c>
      <c r="B6" s="470">
        <v>1130</v>
      </c>
      <c r="C6" s="466">
        <v>27303</v>
      </c>
      <c r="D6" s="466"/>
      <c r="E6" s="475"/>
      <c r="F6" s="475"/>
      <c r="G6" s="468"/>
      <c r="H6" s="468"/>
      <c r="I6" s="468"/>
      <c r="J6" s="468"/>
      <c r="K6" s="468"/>
    </row>
    <row r="7" spans="1:12" x14ac:dyDescent="0.2">
      <c r="A7" s="463" t="s">
        <v>112</v>
      </c>
      <c r="B7" s="549">
        <v>1140</v>
      </c>
      <c r="C7" s="466">
        <v>21829</v>
      </c>
      <c r="D7" s="466"/>
      <c r="E7" s="468"/>
      <c r="F7" s="467"/>
      <c r="G7" s="467"/>
      <c r="H7" s="467"/>
      <c r="I7" s="468"/>
      <c r="J7" s="468"/>
      <c r="K7" s="468"/>
    </row>
    <row r="8" spans="1:12" x14ac:dyDescent="0.2">
      <c r="A8" s="463" t="s">
        <v>433</v>
      </c>
      <c r="B8" s="470">
        <v>1150</v>
      </c>
      <c r="C8" s="475"/>
      <c r="D8" s="475"/>
      <c r="E8" s="477"/>
      <c r="F8" s="477"/>
      <c r="G8" s="481">
        <v>114354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1435739</v>
      </c>
      <c r="D12" s="1729">
        <f t="shared" si="0"/>
        <v>293525</v>
      </c>
      <c r="E12" s="1729">
        <f t="shared" si="0"/>
        <v>598486</v>
      </c>
      <c r="F12" s="1729">
        <f t="shared" si="0"/>
        <v>108987</v>
      </c>
      <c r="G12" s="1729">
        <f t="shared" si="0"/>
        <v>182497</v>
      </c>
      <c r="H12" s="1729">
        <f t="shared" si="0"/>
        <v>0</v>
      </c>
      <c r="I12" s="1729">
        <f t="shared" si="0"/>
        <v>17638</v>
      </c>
      <c r="J12" s="1729">
        <f t="shared" si="0"/>
        <v>112748</v>
      </c>
      <c r="K12" s="1710">
        <f t="shared" si="0"/>
        <v>26104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45699</v>
      </c>
      <c r="D16" s="466"/>
      <c r="E16" s="466"/>
      <c r="F16" s="466"/>
      <c r="G16" s="466">
        <v>5528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45699</v>
      </c>
      <c r="D18" s="1732">
        <f t="shared" ref="D18:K18" si="1">SUM(D14:D17)</f>
        <v>0</v>
      </c>
      <c r="E18" s="1732">
        <f t="shared" si="1"/>
        <v>0</v>
      </c>
      <c r="F18" s="1732">
        <f t="shared" si="1"/>
        <v>0</v>
      </c>
      <c r="G18" s="1732">
        <f t="shared" si="1"/>
        <v>5528</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3249</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3249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1921</v>
      </c>
      <c r="D65" s="466">
        <v>6123</v>
      </c>
      <c r="E65" s="466">
        <v>2733</v>
      </c>
      <c r="F65" s="467">
        <v>2414</v>
      </c>
      <c r="G65" s="466">
        <v>796</v>
      </c>
      <c r="H65" s="466"/>
      <c r="I65" s="466">
        <v>3649</v>
      </c>
      <c r="J65" s="467">
        <v>944</v>
      </c>
      <c r="K65" s="466">
        <v>1737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1921</v>
      </c>
      <c r="D67" s="1710">
        <f t="shared" ref="D67:K67" si="2">SUM(D65:D66)</f>
        <v>6123</v>
      </c>
      <c r="E67" s="1710">
        <f t="shared" si="2"/>
        <v>2733</v>
      </c>
      <c r="F67" s="1710">
        <f t="shared" si="2"/>
        <v>2414</v>
      </c>
      <c r="G67" s="1710">
        <f t="shared" si="2"/>
        <v>796</v>
      </c>
      <c r="H67" s="1710">
        <f t="shared" si="2"/>
        <v>0</v>
      </c>
      <c r="I67" s="1710">
        <f t="shared" si="2"/>
        <v>3649</v>
      </c>
      <c r="J67" s="1710">
        <f t="shared" si="2"/>
        <v>944</v>
      </c>
      <c r="K67" s="1710">
        <f t="shared" si="2"/>
        <v>1737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119276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4165</v>
      </c>
      <c r="D72" s="468"/>
      <c r="E72" s="468"/>
      <c r="F72" s="468"/>
      <c r="G72" s="468"/>
      <c r="H72" s="468"/>
      <c r="I72" s="468"/>
      <c r="J72" s="468"/>
      <c r="K72" s="468"/>
    </row>
    <row r="73" spans="1:11" ht="12.75" customHeight="1" x14ac:dyDescent="0.2">
      <c r="A73" s="463" t="s">
        <v>1055</v>
      </c>
      <c r="B73" s="470">
        <v>1620</v>
      </c>
      <c r="C73" s="551">
        <v>3620</v>
      </c>
      <c r="D73" s="468"/>
      <c r="E73" s="468"/>
      <c r="F73" s="468"/>
      <c r="G73" s="468"/>
      <c r="H73" s="468"/>
      <c r="I73" s="468"/>
      <c r="J73" s="468"/>
      <c r="K73" s="468"/>
    </row>
    <row r="74" spans="1:11" ht="12.75" customHeight="1" x14ac:dyDescent="0.2">
      <c r="A74" s="463" t="s">
        <v>25</v>
      </c>
      <c r="B74" s="470">
        <v>1690</v>
      </c>
      <c r="C74" s="551">
        <v>540</v>
      </c>
      <c r="D74" s="468"/>
      <c r="E74" s="468"/>
      <c r="F74" s="468"/>
      <c r="G74" s="468"/>
      <c r="H74" s="468"/>
      <c r="I74" s="468"/>
      <c r="J74" s="468"/>
      <c r="K74" s="468"/>
    </row>
    <row r="75" spans="1:11" ht="12.75" customHeight="1" thickBot="1" x14ac:dyDescent="0.25">
      <c r="A75" s="1730" t="s">
        <v>569</v>
      </c>
      <c r="B75" s="1731"/>
      <c r="C75" s="1710">
        <f>SUM(C69:C74)</f>
        <v>127601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21773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26846</v>
      </c>
      <c r="D79" s="466"/>
      <c r="E79" s="468"/>
      <c r="F79" s="468"/>
      <c r="G79" s="468"/>
      <c r="H79" s="468"/>
      <c r="I79" s="468"/>
      <c r="J79" s="468"/>
      <c r="K79" s="468"/>
    </row>
    <row r="80" spans="1:11" ht="12.75" customHeight="1" x14ac:dyDescent="0.2">
      <c r="A80" s="463" t="s">
        <v>572</v>
      </c>
      <c r="B80" s="470">
        <v>1730</v>
      </c>
      <c r="C80" s="551">
        <v>1503</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50122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17216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100</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17316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9119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200</v>
      </c>
      <c r="D99" s="466"/>
      <c r="E99" s="466"/>
      <c r="F99" s="466"/>
      <c r="G99" s="466"/>
      <c r="H99" s="466"/>
      <c r="I99" s="468"/>
      <c r="J99" s="467"/>
      <c r="K99" s="466"/>
    </row>
    <row r="100" spans="1:12" ht="12.75" customHeight="1" x14ac:dyDescent="0.2">
      <c r="A100" s="463" t="s">
        <v>263</v>
      </c>
      <c r="B100" s="470">
        <v>1960</v>
      </c>
      <c r="C100" s="489">
        <v>79031</v>
      </c>
      <c r="D100" s="489">
        <v>31000</v>
      </c>
      <c r="E100" s="489"/>
      <c r="F100" s="489"/>
      <c r="G100" s="489"/>
      <c r="H100" s="489"/>
      <c r="I100" s="467"/>
      <c r="J100" s="489"/>
      <c r="K100" s="467"/>
    </row>
    <row r="101" spans="1:12" ht="12.75" customHeight="1" x14ac:dyDescent="0.2">
      <c r="A101" s="463" t="s">
        <v>264</v>
      </c>
      <c r="B101" s="470">
        <v>1970</v>
      </c>
      <c r="C101" s="489">
        <v>8075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155551</v>
      </c>
      <c r="D107" s="466">
        <v>27105</v>
      </c>
      <c r="E107" s="466"/>
      <c r="F107" s="466">
        <v>1197</v>
      </c>
      <c r="G107" s="466"/>
      <c r="H107" s="466"/>
      <c r="I107" s="466"/>
      <c r="J107" s="467"/>
      <c r="K107" s="466"/>
    </row>
    <row r="108" spans="1:12" ht="12.75" customHeight="1" thickBot="1" x14ac:dyDescent="0.25">
      <c r="A108" s="1730" t="s">
        <v>508</v>
      </c>
      <c r="B108" s="1734"/>
      <c r="C108" s="1729">
        <f>SUM(C95:C107)</f>
        <v>251976</v>
      </c>
      <c r="D108" s="1729">
        <f t="shared" ref="D108:K108" si="3">SUM(D95:D107)</f>
        <v>58105</v>
      </c>
      <c r="E108" s="1729">
        <f t="shared" si="3"/>
        <v>0</v>
      </c>
      <c r="F108" s="1729">
        <f t="shared" si="3"/>
        <v>1197</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1930374</v>
      </c>
      <c r="D109" s="1737">
        <f t="shared" si="4"/>
        <v>357753</v>
      </c>
      <c r="E109" s="1737">
        <f t="shared" si="4"/>
        <v>601219</v>
      </c>
      <c r="F109" s="1737">
        <f t="shared" si="4"/>
        <v>115847</v>
      </c>
      <c r="G109" s="1737">
        <f t="shared" si="4"/>
        <v>188821</v>
      </c>
      <c r="H109" s="1737">
        <f t="shared" si="4"/>
        <v>0</v>
      </c>
      <c r="I109" s="1737">
        <f t="shared" si="4"/>
        <v>21287</v>
      </c>
      <c r="J109" s="1737">
        <f t="shared" si="4"/>
        <v>113692</v>
      </c>
      <c r="K109" s="1724">
        <f t="shared" si="4"/>
        <v>27841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1647776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1647776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18285</v>
      </c>
      <c r="D124" s="561"/>
      <c r="E124" s="468"/>
      <c r="F124" s="548"/>
      <c r="G124" s="468"/>
      <c r="H124" s="468"/>
      <c r="I124" s="468"/>
      <c r="J124" s="468"/>
      <c r="K124" s="468"/>
    </row>
    <row r="125" spans="1:11" ht="12.75" customHeight="1" x14ac:dyDescent="0.2">
      <c r="A125" s="463" t="s">
        <v>1521</v>
      </c>
      <c r="B125" s="562">
        <v>3105</v>
      </c>
      <c r="C125" s="466">
        <v>28684</v>
      </c>
      <c r="D125" s="561"/>
      <c r="E125" s="468"/>
      <c r="F125" s="466"/>
      <c r="G125" s="468"/>
      <c r="H125" s="468"/>
      <c r="I125" s="468"/>
      <c r="J125" s="468"/>
      <c r="K125" s="468"/>
    </row>
    <row r="126" spans="1:11" ht="12.75" customHeight="1" x14ac:dyDescent="0.2">
      <c r="A126" s="463" t="s">
        <v>922</v>
      </c>
      <c r="B126" s="562">
        <v>3110</v>
      </c>
      <c r="C126" s="551">
        <v>47398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94367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4695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3989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8684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978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7966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103704</v>
      </c>
      <c r="G151" s="467"/>
      <c r="H151" s="468"/>
      <c r="I151" s="468"/>
      <c r="J151" s="468"/>
      <c r="K151" s="468"/>
    </row>
    <row r="152" spans="1:11" ht="12.75" customHeight="1" x14ac:dyDescent="0.2">
      <c r="A152" s="463" t="s">
        <v>1117</v>
      </c>
      <c r="B152" s="562">
        <v>3510</v>
      </c>
      <c r="C152" s="551"/>
      <c r="D152" s="466"/>
      <c r="E152" s="561"/>
      <c r="F152" s="466">
        <v>59294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162998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82078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9" t="s">
        <v>418</v>
      </c>
      <c r="B172" s="2170"/>
      <c r="C172" s="1744">
        <f t="shared" ref="C172:K172" si="6">SUM(C131,C140,C144,C145:C149,C154,C155:C170,C171)</f>
        <v>195573</v>
      </c>
      <c r="D172" s="1744">
        <f t="shared" si="6"/>
        <v>0</v>
      </c>
      <c r="E172" s="1744">
        <f t="shared" si="6"/>
        <v>0</v>
      </c>
      <c r="F172" s="1744">
        <f t="shared" si="6"/>
        <v>162998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1843349</v>
      </c>
      <c r="D173" s="1737">
        <f>SUM(D121,D172)</f>
        <v>0</v>
      </c>
      <c r="E173" s="1737">
        <f>SUM(E121,E172)</f>
        <v>0</v>
      </c>
      <c r="F173" s="1737">
        <f t="shared" ref="F173:K173" si="7">SUM(F121,F172)</f>
        <v>162998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1" t="s">
        <v>1572</v>
      </c>
      <c r="B175" s="217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5" t="s">
        <v>1764</v>
      </c>
      <c r="B178" s="217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9" t="s">
        <v>1763</v>
      </c>
      <c r="B179" s="218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39669</v>
      </c>
      <c r="D183" s="466"/>
      <c r="E183" s="468"/>
      <c r="F183" s="466"/>
      <c r="G183" s="466"/>
      <c r="H183" s="466"/>
      <c r="I183" s="468"/>
      <c r="J183" s="468"/>
      <c r="K183" s="466"/>
    </row>
    <row r="184" spans="1:11" ht="13.5" thickBot="1" x14ac:dyDescent="0.25">
      <c r="A184" s="2177" t="s">
        <v>818</v>
      </c>
      <c r="B184" s="2178"/>
      <c r="C184" s="1729">
        <f>SUM(C180:C183)</f>
        <v>39669</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3" t="s">
        <v>1906</v>
      </c>
      <c r="B185" s="217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71699</v>
      </c>
      <c r="D194" s="468"/>
      <c r="E194" s="561"/>
      <c r="F194" s="468"/>
      <c r="G194" s="585"/>
      <c r="H194" s="468"/>
      <c r="I194" s="468"/>
      <c r="J194" s="468"/>
      <c r="K194" s="468"/>
    </row>
    <row r="195" spans="1:11" ht="12.75" customHeight="1" x14ac:dyDescent="0.2">
      <c r="A195" s="463" t="s">
        <v>1107</v>
      </c>
      <c r="B195" s="470">
        <v>4215</v>
      </c>
      <c r="C195" s="551">
        <v>721</v>
      </c>
      <c r="D195" s="468"/>
      <c r="E195" s="561"/>
      <c r="F195" s="468"/>
      <c r="G195" s="585"/>
      <c r="H195" s="468"/>
      <c r="I195" s="468"/>
      <c r="J195" s="468"/>
      <c r="K195" s="468"/>
    </row>
    <row r="196" spans="1:11" ht="12.75" customHeight="1" x14ac:dyDescent="0.2">
      <c r="A196" s="463" t="s">
        <v>1119</v>
      </c>
      <c r="B196" s="470">
        <v>4220</v>
      </c>
      <c r="C196" s="551">
        <v>10676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83096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67590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67590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10734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118742</v>
      </c>
      <c r="D220" s="466"/>
      <c r="E220" s="468"/>
      <c r="F220" s="466"/>
      <c r="G220" s="466"/>
      <c r="H220" s="468"/>
      <c r="I220" s="468"/>
      <c r="J220" s="468"/>
      <c r="K220" s="468"/>
    </row>
    <row r="221" spans="1:11" ht="12.75" customHeight="1" x14ac:dyDescent="0.2">
      <c r="A221" s="463" t="s">
        <v>1114</v>
      </c>
      <c r="B221" s="470">
        <v>4625</v>
      </c>
      <c r="C221" s="551">
        <v>49122</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178598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4268</v>
      </c>
      <c r="D270" s="576"/>
      <c r="E270" s="468"/>
      <c r="F270" s="576"/>
      <c r="G270" s="576"/>
      <c r="H270" s="468"/>
      <c r="I270" s="468"/>
      <c r="J270" s="468"/>
      <c r="K270" s="468"/>
    </row>
    <row r="271" spans="1:11" ht="12.75" customHeight="1" thickTop="1" thickBot="1" x14ac:dyDescent="0.25">
      <c r="A271" s="463" t="s">
        <v>395</v>
      </c>
      <c r="B271" s="470">
        <v>4992</v>
      </c>
      <c r="C271" s="575">
        <v>26970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360522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400191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4173914</v>
      </c>
      <c r="D275" s="1737">
        <f t="shared" si="12"/>
        <v>357753</v>
      </c>
      <c r="E275" s="1737">
        <f t="shared" si="12"/>
        <v>601219</v>
      </c>
      <c r="F275" s="1737">
        <f t="shared" si="12"/>
        <v>278845</v>
      </c>
      <c r="G275" s="1737">
        <f t="shared" si="12"/>
        <v>188821</v>
      </c>
      <c r="H275" s="1737">
        <f t="shared" si="12"/>
        <v>0</v>
      </c>
      <c r="I275" s="1737">
        <f t="shared" si="12"/>
        <v>21287</v>
      </c>
      <c r="J275" s="1737">
        <f t="shared" si="12"/>
        <v>113692</v>
      </c>
      <c r="K275" s="1724">
        <f t="shared" si="12"/>
        <v>27841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59" activePane="bottomLeft" state="frozen"/>
      <selection activeCell="T25" sqref="T25:AA25"/>
      <selection pane="bottomLeft" activeCell="T25" sqref="T25:AA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9" t="s">
        <v>315</v>
      </c>
      <c r="B3" s="219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1460566</v>
      </c>
      <c r="D5" s="466">
        <v>427927</v>
      </c>
      <c r="E5" s="466">
        <v>18442</v>
      </c>
      <c r="F5" s="466">
        <v>46902</v>
      </c>
      <c r="G5" s="466">
        <v>77719</v>
      </c>
      <c r="H5" s="466"/>
      <c r="I5" s="467"/>
      <c r="J5" s="467"/>
      <c r="K5" s="1693">
        <f>SUM(C5:J5)</f>
        <v>2031556</v>
      </c>
      <c r="L5" s="466">
        <v>2020100</v>
      </c>
    </row>
    <row r="6" spans="1:14" x14ac:dyDescent="0.2">
      <c r="A6" s="1526" t="s">
        <v>1508</v>
      </c>
      <c r="B6" s="615" t="s">
        <v>1506</v>
      </c>
      <c r="C6" s="477"/>
      <c r="D6" s="477"/>
      <c r="E6" s="466"/>
      <c r="F6" s="477"/>
      <c r="G6" s="477"/>
      <c r="H6" s="477"/>
      <c r="I6" s="477"/>
      <c r="J6" s="477"/>
      <c r="K6" s="1693">
        <f>SUM(C6,E6)</f>
        <v>0</v>
      </c>
      <c r="L6" s="466">
        <v>9250</v>
      </c>
    </row>
    <row r="7" spans="1:14" x14ac:dyDescent="0.2">
      <c r="A7" s="1526" t="s">
        <v>165</v>
      </c>
      <c r="B7" s="615" t="s">
        <v>1024</v>
      </c>
      <c r="C7" s="467">
        <v>33145</v>
      </c>
      <c r="D7" s="467">
        <v>6725</v>
      </c>
      <c r="E7" s="467"/>
      <c r="F7" s="467">
        <v>131</v>
      </c>
      <c r="G7" s="467"/>
      <c r="H7" s="467"/>
      <c r="I7" s="467"/>
      <c r="J7" s="467"/>
      <c r="K7" s="1693">
        <f t="shared" ref="K7:K32" si="0">SUM(C7:J7)</f>
        <v>40001</v>
      </c>
      <c r="L7" s="466">
        <v>41700</v>
      </c>
    </row>
    <row r="8" spans="1:14" x14ac:dyDescent="0.2">
      <c r="A8" s="1526" t="s">
        <v>166</v>
      </c>
      <c r="B8" s="615">
        <v>1200</v>
      </c>
      <c r="C8" s="466">
        <v>290061</v>
      </c>
      <c r="D8" s="466">
        <v>43858</v>
      </c>
      <c r="E8" s="466">
        <v>3406</v>
      </c>
      <c r="F8" s="466">
        <v>847</v>
      </c>
      <c r="G8" s="466"/>
      <c r="H8" s="466"/>
      <c r="I8" s="467"/>
      <c r="J8" s="467"/>
      <c r="K8" s="1693">
        <f t="shared" si="0"/>
        <v>338172</v>
      </c>
      <c r="L8" s="466">
        <v>338550</v>
      </c>
    </row>
    <row r="9" spans="1:14" x14ac:dyDescent="0.2">
      <c r="A9" s="1526" t="s">
        <v>745</v>
      </c>
      <c r="B9" s="615" t="s">
        <v>1025</v>
      </c>
      <c r="C9" s="467">
        <v>20151</v>
      </c>
      <c r="D9" s="467">
        <v>6725</v>
      </c>
      <c r="E9" s="467"/>
      <c r="F9" s="467"/>
      <c r="G9" s="467"/>
      <c r="H9" s="467"/>
      <c r="I9" s="467"/>
      <c r="J9" s="467"/>
      <c r="K9" s="1693">
        <f t="shared" si="0"/>
        <v>26876</v>
      </c>
      <c r="L9" s="466">
        <v>27400</v>
      </c>
    </row>
    <row r="10" spans="1:14" x14ac:dyDescent="0.2">
      <c r="A10" s="1526" t="s">
        <v>746</v>
      </c>
      <c r="B10" s="615">
        <v>1250</v>
      </c>
      <c r="C10" s="466">
        <v>71605</v>
      </c>
      <c r="D10" s="466">
        <v>19058</v>
      </c>
      <c r="E10" s="466"/>
      <c r="F10" s="466">
        <v>2895</v>
      </c>
      <c r="G10" s="466"/>
      <c r="H10" s="466"/>
      <c r="I10" s="467"/>
      <c r="J10" s="467"/>
      <c r="K10" s="1693">
        <f t="shared" si="0"/>
        <v>93558</v>
      </c>
      <c r="L10" s="466">
        <v>95200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127361</v>
      </c>
      <c r="D13" s="466">
        <v>33171</v>
      </c>
      <c r="E13" s="466">
        <v>10861</v>
      </c>
      <c r="F13" s="466">
        <v>981</v>
      </c>
      <c r="G13" s="466">
        <v>6219</v>
      </c>
      <c r="H13" s="466">
        <v>21382</v>
      </c>
      <c r="I13" s="467"/>
      <c r="J13" s="467"/>
      <c r="K13" s="1693">
        <f t="shared" si="0"/>
        <v>199975</v>
      </c>
      <c r="L13" s="466">
        <v>202850</v>
      </c>
    </row>
    <row r="14" spans="1:14" x14ac:dyDescent="0.2">
      <c r="A14" s="1526" t="s">
        <v>1020</v>
      </c>
      <c r="B14" s="615">
        <v>1500</v>
      </c>
      <c r="C14" s="466">
        <v>68779</v>
      </c>
      <c r="D14" s="466">
        <v>2760</v>
      </c>
      <c r="E14" s="466">
        <v>19848</v>
      </c>
      <c r="F14" s="466">
        <v>7808</v>
      </c>
      <c r="G14" s="466"/>
      <c r="H14" s="466"/>
      <c r="I14" s="467"/>
      <c r="J14" s="467"/>
      <c r="K14" s="1693">
        <f t="shared" si="0"/>
        <v>99195</v>
      </c>
      <c r="L14" s="466">
        <v>102575</v>
      </c>
    </row>
    <row r="15" spans="1:14" x14ac:dyDescent="0.2">
      <c r="A15" s="1526" t="s">
        <v>1021</v>
      </c>
      <c r="B15" s="615">
        <v>1600</v>
      </c>
      <c r="C15" s="466">
        <v>1995</v>
      </c>
      <c r="D15" s="466">
        <v>255</v>
      </c>
      <c r="E15" s="466"/>
      <c r="F15" s="466"/>
      <c r="G15" s="466"/>
      <c r="H15" s="466"/>
      <c r="I15" s="467"/>
      <c r="J15" s="467"/>
      <c r="K15" s="1693">
        <f t="shared" si="0"/>
        <v>2250</v>
      </c>
      <c r="L15" s="466">
        <v>2400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31050</v>
      </c>
      <c r="D17" s="467">
        <v>8645</v>
      </c>
      <c r="E17" s="467">
        <v>5200</v>
      </c>
      <c r="F17" s="467"/>
      <c r="G17" s="467"/>
      <c r="H17" s="467"/>
      <c r="I17" s="467"/>
      <c r="J17" s="467"/>
      <c r="K17" s="1693">
        <f t="shared" si="0"/>
        <v>44895</v>
      </c>
      <c r="L17" s="466">
        <v>43550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v>56115</v>
      </c>
      <c r="I21" s="617"/>
      <c r="J21" s="477"/>
      <c r="K21" s="1693">
        <f t="shared" si="0"/>
        <v>56115</v>
      </c>
      <c r="L21" s="471">
        <v>117000</v>
      </c>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v>2000</v>
      </c>
      <c r="I32" s="617"/>
      <c r="J32" s="480"/>
      <c r="K32" s="1693">
        <f t="shared" si="0"/>
        <v>2000</v>
      </c>
      <c r="L32" s="471">
        <v>2000</v>
      </c>
    </row>
    <row r="33" spans="1:14" ht="12.75" customHeight="1" thickBot="1" x14ac:dyDescent="0.25">
      <c r="A33" s="1690" t="s">
        <v>1767</v>
      </c>
      <c r="B33" s="1691" t="s">
        <v>591</v>
      </c>
      <c r="C33" s="1692">
        <f>SUM(C5:C32)</f>
        <v>2104713</v>
      </c>
      <c r="D33" s="1692">
        <f t="shared" ref="D33:L33" si="1">SUM(D5:D32)</f>
        <v>549124</v>
      </c>
      <c r="E33" s="1692">
        <f t="shared" si="1"/>
        <v>57757</v>
      </c>
      <c r="F33" s="1692">
        <f t="shared" si="1"/>
        <v>59564</v>
      </c>
      <c r="G33" s="1692">
        <f t="shared" si="1"/>
        <v>83938</v>
      </c>
      <c r="H33" s="1692">
        <f t="shared" si="1"/>
        <v>79497</v>
      </c>
      <c r="I33" s="1692">
        <f t="shared" si="1"/>
        <v>0</v>
      </c>
      <c r="J33" s="1692">
        <f t="shared" si="1"/>
        <v>0</v>
      </c>
      <c r="K33" s="1692">
        <f t="shared" si="1"/>
        <v>2934593</v>
      </c>
      <c r="L33" s="1692">
        <f t="shared" si="1"/>
        <v>3002575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40832</v>
      </c>
      <c r="D37" s="466">
        <v>13616</v>
      </c>
      <c r="E37" s="466">
        <v>495</v>
      </c>
      <c r="F37" s="466"/>
      <c r="G37" s="466"/>
      <c r="H37" s="466"/>
      <c r="I37" s="467"/>
      <c r="J37" s="467"/>
      <c r="K37" s="1693">
        <f t="shared" si="2"/>
        <v>54943</v>
      </c>
      <c r="L37" s="466">
        <v>54575</v>
      </c>
    </row>
    <row r="38" spans="1:14" x14ac:dyDescent="0.2">
      <c r="A38" s="1526" t="s">
        <v>207</v>
      </c>
      <c r="B38" s="615">
        <v>2130</v>
      </c>
      <c r="C38" s="466">
        <v>52993</v>
      </c>
      <c r="D38" s="466">
        <v>15098</v>
      </c>
      <c r="E38" s="466">
        <v>212</v>
      </c>
      <c r="F38" s="466">
        <v>379</v>
      </c>
      <c r="G38" s="466"/>
      <c r="H38" s="466"/>
      <c r="I38" s="467"/>
      <c r="J38" s="467"/>
      <c r="K38" s="1693">
        <f t="shared" si="2"/>
        <v>68682</v>
      </c>
      <c r="L38" s="466">
        <v>68550</v>
      </c>
    </row>
    <row r="39" spans="1:14" x14ac:dyDescent="0.2">
      <c r="A39" s="1526" t="s">
        <v>208</v>
      </c>
      <c r="B39" s="615">
        <v>2140</v>
      </c>
      <c r="C39" s="466"/>
      <c r="D39" s="466"/>
      <c r="E39" s="466">
        <v>61248</v>
      </c>
      <c r="F39" s="466"/>
      <c r="G39" s="466"/>
      <c r="H39" s="466"/>
      <c r="I39" s="467"/>
      <c r="J39" s="467"/>
      <c r="K39" s="1693">
        <f t="shared" si="2"/>
        <v>61248</v>
      </c>
      <c r="L39" s="466"/>
    </row>
    <row r="40" spans="1:14" x14ac:dyDescent="0.2">
      <c r="A40" s="1526" t="s">
        <v>209</v>
      </c>
      <c r="B40" s="615">
        <v>2150</v>
      </c>
      <c r="C40" s="466"/>
      <c r="D40" s="466"/>
      <c r="E40" s="466">
        <v>24603</v>
      </c>
      <c r="F40" s="466"/>
      <c r="G40" s="466"/>
      <c r="H40" s="466"/>
      <c r="I40" s="467"/>
      <c r="J40" s="467"/>
      <c r="K40" s="1693">
        <f t="shared" si="2"/>
        <v>24603</v>
      </c>
      <c r="L40" s="466">
        <v>86500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93825</v>
      </c>
      <c r="D42" s="1692">
        <f t="shared" ref="D42:L42" si="3">SUM(D36:D41)</f>
        <v>28714</v>
      </c>
      <c r="E42" s="1692">
        <f t="shared" si="3"/>
        <v>86558</v>
      </c>
      <c r="F42" s="1692">
        <f t="shared" si="3"/>
        <v>379</v>
      </c>
      <c r="G42" s="1692">
        <f t="shared" si="3"/>
        <v>0</v>
      </c>
      <c r="H42" s="1692">
        <f t="shared" si="3"/>
        <v>0</v>
      </c>
      <c r="I42" s="1692">
        <f t="shared" si="3"/>
        <v>0</v>
      </c>
      <c r="J42" s="1692">
        <f t="shared" si="3"/>
        <v>0</v>
      </c>
      <c r="K42" s="1692">
        <f t="shared" si="3"/>
        <v>209476</v>
      </c>
      <c r="L42" s="1692">
        <f t="shared" si="3"/>
        <v>209625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2300</v>
      </c>
      <c r="F44" s="481"/>
      <c r="G44" s="481"/>
      <c r="H44" s="481"/>
      <c r="I44" s="467"/>
      <c r="J44" s="467"/>
      <c r="K44" s="1694">
        <f>SUM(C44:J44)</f>
        <v>2300</v>
      </c>
      <c r="L44" s="481"/>
    </row>
    <row r="45" spans="1:14" x14ac:dyDescent="0.2">
      <c r="A45" s="1526" t="s">
        <v>869</v>
      </c>
      <c r="B45" s="615">
        <v>2220</v>
      </c>
      <c r="C45" s="466">
        <v>39806</v>
      </c>
      <c r="D45" s="466"/>
      <c r="E45" s="466">
        <v>1039</v>
      </c>
      <c r="F45" s="466">
        <v>3224</v>
      </c>
      <c r="G45" s="466"/>
      <c r="H45" s="466"/>
      <c r="I45" s="467"/>
      <c r="J45" s="467"/>
      <c r="K45" s="1694">
        <f>SUM(C45:J45)</f>
        <v>44069</v>
      </c>
      <c r="L45" s="466">
        <v>43800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39806</v>
      </c>
      <c r="D47" s="1692">
        <f t="shared" ref="D47:K47" si="4">SUM(D44:D46)</f>
        <v>0</v>
      </c>
      <c r="E47" s="1692">
        <f t="shared" si="4"/>
        <v>3339</v>
      </c>
      <c r="F47" s="1692">
        <f t="shared" si="4"/>
        <v>3224</v>
      </c>
      <c r="G47" s="1692">
        <f t="shared" si="4"/>
        <v>0</v>
      </c>
      <c r="H47" s="1692">
        <f t="shared" si="4"/>
        <v>0</v>
      </c>
      <c r="I47" s="1692">
        <f t="shared" si="4"/>
        <v>0</v>
      </c>
      <c r="J47" s="1692">
        <f t="shared" si="4"/>
        <v>0</v>
      </c>
      <c r="K47" s="1692">
        <f t="shared" si="4"/>
        <v>46369</v>
      </c>
      <c r="L47" s="1692">
        <f>SUM(L44:L46)</f>
        <v>43800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1560</v>
      </c>
      <c r="D49" s="481"/>
      <c r="E49" s="481">
        <v>23107</v>
      </c>
      <c r="F49" s="481"/>
      <c r="G49" s="481"/>
      <c r="H49" s="481"/>
      <c r="I49" s="467"/>
      <c r="J49" s="467"/>
      <c r="K49" s="1694">
        <f>SUM(C49:J49)</f>
        <v>24667</v>
      </c>
      <c r="L49" s="481">
        <v>25270</v>
      </c>
    </row>
    <row r="50" spans="1:14" x14ac:dyDescent="0.2">
      <c r="A50" s="1526" t="s">
        <v>872</v>
      </c>
      <c r="B50" s="615">
        <v>2320</v>
      </c>
      <c r="C50" s="466">
        <v>128779</v>
      </c>
      <c r="D50" s="466">
        <v>26673</v>
      </c>
      <c r="E50" s="466">
        <v>33602</v>
      </c>
      <c r="F50" s="466">
        <v>51</v>
      </c>
      <c r="G50" s="466">
        <v>9653</v>
      </c>
      <c r="H50" s="466"/>
      <c r="I50" s="467"/>
      <c r="J50" s="467"/>
      <c r="K50" s="1694">
        <f>SUM(C50:J50)</f>
        <v>198758</v>
      </c>
      <c r="L50" s="466">
        <v>187660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130339</v>
      </c>
      <c r="D53" s="1692">
        <f t="shared" ref="D53:L53" si="5">SUM(D49:D52)</f>
        <v>26673</v>
      </c>
      <c r="E53" s="1692">
        <f t="shared" si="5"/>
        <v>56709</v>
      </c>
      <c r="F53" s="1692">
        <f t="shared" si="5"/>
        <v>51</v>
      </c>
      <c r="G53" s="1692">
        <f t="shared" si="5"/>
        <v>9653</v>
      </c>
      <c r="H53" s="1692">
        <f t="shared" si="5"/>
        <v>0</v>
      </c>
      <c r="I53" s="1692">
        <f t="shared" si="5"/>
        <v>0</v>
      </c>
      <c r="J53" s="1692">
        <f t="shared" si="5"/>
        <v>0</v>
      </c>
      <c r="K53" s="1692">
        <f t="shared" si="5"/>
        <v>223425</v>
      </c>
      <c r="L53" s="1692">
        <f t="shared" si="5"/>
        <v>212930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260043</v>
      </c>
      <c r="D55" s="481">
        <v>52314</v>
      </c>
      <c r="E55" s="481">
        <v>1820</v>
      </c>
      <c r="F55" s="481">
        <v>402</v>
      </c>
      <c r="G55" s="481"/>
      <c r="H55" s="481"/>
      <c r="I55" s="467"/>
      <c r="J55" s="467"/>
      <c r="K55" s="1694">
        <f>SUM(C55:J55)</f>
        <v>314579</v>
      </c>
      <c r="L55" s="481">
        <v>317000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260043</v>
      </c>
      <c r="D57" s="1696">
        <f t="shared" ref="D57:K57" si="6">SUM(D55:D56)</f>
        <v>52314</v>
      </c>
      <c r="E57" s="1696">
        <f t="shared" si="6"/>
        <v>1820</v>
      </c>
      <c r="F57" s="1696">
        <f t="shared" si="6"/>
        <v>402</v>
      </c>
      <c r="G57" s="1696">
        <f t="shared" si="6"/>
        <v>0</v>
      </c>
      <c r="H57" s="1696">
        <f t="shared" si="6"/>
        <v>0</v>
      </c>
      <c r="I57" s="1696">
        <f t="shared" si="6"/>
        <v>0</v>
      </c>
      <c r="J57" s="1696">
        <f t="shared" si="6"/>
        <v>0</v>
      </c>
      <c r="K57" s="1696">
        <f t="shared" si="6"/>
        <v>314579</v>
      </c>
      <c r="L57" s="1692">
        <f>SUM(L55:L56)</f>
        <v>317000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47078</v>
      </c>
      <c r="D60" s="466">
        <v>46</v>
      </c>
      <c r="E60" s="466">
        <v>10553</v>
      </c>
      <c r="F60" s="466">
        <v>759</v>
      </c>
      <c r="G60" s="466"/>
      <c r="H60" s="466"/>
      <c r="I60" s="467"/>
      <c r="J60" s="467"/>
      <c r="K60" s="1694">
        <f t="shared" si="7"/>
        <v>58436</v>
      </c>
      <c r="L60" s="466">
        <v>60400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v>75</v>
      </c>
      <c r="M62" s="610"/>
      <c r="N62" s="610"/>
    </row>
    <row r="63" spans="1:14" s="610" customFormat="1" x14ac:dyDescent="0.2">
      <c r="A63" s="1526" t="s">
        <v>102</v>
      </c>
      <c r="B63" s="615">
        <v>2560</v>
      </c>
      <c r="C63" s="466">
        <v>66897</v>
      </c>
      <c r="D63" s="466"/>
      <c r="E63" s="466">
        <v>880</v>
      </c>
      <c r="F63" s="466">
        <v>81034</v>
      </c>
      <c r="G63" s="466"/>
      <c r="H63" s="466"/>
      <c r="I63" s="467"/>
      <c r="J63" s="467"/>
      <c r="K63" s="1694">
        <f t="shared" si="7"/>
        <v>148811</v>
      </c>
      <c r="L63" s="466">
        <v>156500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113975</v>
      </c>
      <c r="D65" s="1692">
        <f t="shared" ref="D65:L65" si="8">SUM(D59:D64)</f>
        <v>46</v>
      </c>
      <c r="E65" s="1692">
        <f t="shared" si="8"/>
        <v>11433</v>
      </c>
      <c r="F65" s="1692">
        <f t="shared" si="8"/>
        <v>81793</v>
      </c>
      <c r="G65" s="1692">
        <f t="shared" si="8"/>
        <v>0</v>
      </c>
      <c r="H65" s="1692">
        <f t="shared" si="8"/>
        <v>0</v>
      </c>
      <c r="I65" s="1692">
        <f t="shared" si="8"/>
        <v>0</v>
      </c>
      <c r="J65" s="1692">
        <f t="shared" si="8"/>
        <v>0</v>
      </c>
      <c r="K65" s="1692">
        <f t="shared" si="8"/>
        <v>207247</v>
      </c>
      <c r="L65" s="1692">
        <f t="shared" si="8"/>
        <v>216975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100</v>
      </c>
      <c r="G73" s="573"/>
      <c r="H73" s="573"/>
      <c r="I73" s="531"/>
      <c r="J73" s="531"/>
      <c r="K73" s="1692">
        <f>SUM(C73:J73)</f>
        <v>100</v>
      </c>
      <c r="L73" s="576">
        <v>175</v>
      </c>
      <c r="M73" s="610"/>
      <c r="N73" s="610"/>
    </row>
    <row r="74" spans="1:14" ht="12.75" customHeight="1" thickTop="1" thickBot="1" x14ac:dyDescent="0.25">
      <c r="A74" s="1690" t="s">
        <v>865</v>
      </c>
      <c r="B74" s="1698">
        <v>2000</v>
      </c>
      <c r="C74" s="1699">
        <f>SUM(C42,C47,C53,C57,C65,C72,C73)</f>
        <v>637988</v>
      </c>
      <c r="D74" s="1699">
        <f t="shared" ref="D74:K74" si="10">SUM(D42,D47,D53,D57,D65,D72,D73)</f>
        <v>107747</v>
      </c>
      <c r="E74" s="1699">
        <f t="shared" si="10"/>
        <v>159859</v>
      </c>
      <c r="F74" s="1699">
        <f t="shared" si="10"/>
        <v>85949</v>
      </c>
      <c r="G74" s="1699">
        <f t="shared" si="10"/>
        <v>9653</v>
      </c>
      <c r="H74" s="1699">
        <f t="shared" si="10"/>
        <v>0</v>
      </c>
      <c r="I74" s="1699">
        <f t="shared" si="10"/>
        <v>0</v>
      </c>
      <c r="J74" s="1699">
        <f t="shared" si="10"/>
        <v>0</v>
      </c>
      <c r="K74" s="1699">
        <f t="shared" si="10"/>
        <v>1001196</v>
      </c>
      <c r="L74" s="1699">
        <f>SUM(L42,L47,L53,L57,L65,L72,L73)</f>
        <v>1000505</v>
      </c>
    </row>
    <row r="75" spans="1:14" s="259" customFormat="1" ht="15.75" customHeight="1" thickTop="1" thickBot="1" x14ac:dyDescent="0.25">
      <c r="A75" s="1632" t="s">
        <v>49</v>
      </c>
      <c r="B75" s="1633" t="s">
        <v>596</v>
      </c>
      <c r="C75" s="573">
        <v>102633</v>
      </c>
      <c r="D75" s="573">
        <v>6800</v>
      </c>
      <c r="E75" s="573">
        <v>45</v>
      </c>
      <c r="F75" s="573">
        <v>5758</v>
      </c>
      <c r="G75" s="573"/>
      <c r="H75" s="573"/>
      <c r="I75" s="531"/>
      <c r="J75" s="531"/>
      <c r="K75" s="1692">
        <f>SUM(C75:J75)</f>
        <v>115236</v>
      </c>
      <c r="L75" s="576">
        <v>117850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173007</v>
      </c>
      <c r="F79" s="617"/>
      <c r="G79" s="617"/>
      <c r="H79" s="466"/>
      <c r="I79" s="477"/>
      <c r="J79" s="477"/>
      <c r="K79" s="1693">
        <f t="shared" si="11"/>
        <v>173007</v>
      </c>
      <c r="L79" s="466">
        <v>177800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1885</v>
      </c>
      <c r="I83" s="477"/>
      <c r="J83" s="477"/>
      <c r="K83" s="1693">
        <f t="shared" si="11"/>
        <v>1885</v>
      </c>
      <c r="L83" s="466"/>
    </row>
    <row r="84" spans="1:12" ht="13.5" thickBot="1" x14ac:dyDescent="0.25">
      <c r="A84" s="1690" t="s">
        <v>1565</v>
      </c>
      <c r="B84" s="1700">
        <v>4100</v>
      </c>
      <c r="C84" s="617"/>
      <c r="D84" s="617"/>
      <c r="E84" s="1692">
        <f>SUM(E78:E83)</f>
        <v>173007</v>
      </c>
      <c r="F84" s="617"/>
      <c r="G84" s="617"/>
      <c r="H84" s="1692">
        <f>SUM(H78:H83)</f>
        <v>1885</v>
      </c>
      <c r="I84" s="477"/>
      <c r="J84" s="477"/>
      <c r="K84" s="1692">
        <f>SUM(K78:K83)</f>
        <v>174892</v>
      </c>
      <c r="L84" s="1692">
        <f>SUM(L78:L83)</f>
        <v>177800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10349</v>
      </c>
      <c r="I86" s="477"/>
      <c r="J86" s="477"/>
      <c r="K86" s="1699">
        <f t="shared" ref="K86:K98" si="12">H86</f>
        <v>10349</v>
      </c>
      <c r="L86" s="530">
        <v>28000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10349</v>
      </c>
      <c r="I92" s="477"/>
      <c r="J92" s="477"/>
      <c r="K92" s="1699">
        <f t="shared" si="12"/>
        <v>10349</v>
      </c>
      <c r="L92" s="1692">
        <f>SUM(L85:L91)</f>
        <v>28000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v>60411</v>
      </c>
      <c r="I101" s="477"/>
      <c r="J101" s="477"/>
      <c r="K101" s="1701">
        <f>SUM(C101:J101)</f>
        <v>60411</v>
      </c>
      <c r="L101" s="530"/>
    </row>
    <row r="102" spans="1:14" ht="12.75" customHeight="1" thickTop="1" thickBot="1" x14ac:dyDescent="0.25">
      <c r="A102" s="1690" t="s">
        <v>1567</v>
      </c>
      <c r="B102" s="1700">
        <v>4000</v>
      </c>
      <c r="C102" s="617"/>
      <c r="D102" s="617"/>
      <c r="E102" s="1699">
        <f>SUM(E84,E92,E100,E101)</f>
        <v>173007</v>
      </c>
      <c r="F102" s="617"/>
      <c r="G102" s="617"/>
      <c r="H102" s="1699">
        <f>SUM(H84,H92,H100,H101)</f>
        <v>72645</v>
      </c>
      <c r="I102" s="477"/>
      <c r="J102" s="477"/>
      <c r="K102" s="1699">
        <f>SUM(K84,K92,K100,K101)</f>
        <v>245652</v>
      </c>
      <c r="L102" s="1699">
        <f>SUM(L84,L92,L100,L101)</f>
        <v>205800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2845334</v>
      </c>
      <c r="D114" s="1692">
        <f t="shared" ref="D114:K114" si="13">SUM(D33,D74,D75,D102,D112,D113)</f>
        <v>663671</v>
      </c>
      <c r="E114" s="1692">
        <f t="shared" si="13"/>
        <v>390668</v>
      </c>
      <c r="F114" s="1692">
        <f t="shared" si="13"/>
        <v>151271</v>
      </c>
      <c r="G114" s="1692">
        <f t="shared" si="13"/>
        <v>93591</v>
      </c>
      <c r="H114" s="1692">
        <f>SUM(H33,H74,H75,H102,H112,H113)</f>
        <v>152142</v>
      </c>
      <c r="I114" s="1692">
        <f t="shared" si="13"/>
        <v>0</v>
      </c>
      <c r="J114" s="1692">
        <f t="shared" si="13"/>
        <v>0</v>
      </c>
      <c r="K114" s="1692">
        <f t="shared" si="13"/>
        <v>4296677</v>
      </c>
      <c r="L114" s="1692">
        <f>SUM(L33,L74,L75,L102,L112,L113)</f>
        <v>4326730</v>
      </c>
    </row>
    <row r="115" spans="1:14" ht="13.5" thickTop="1" x14ac:dyDescent="0.2">
      <c r="A115" s="2181" t="s">
        <v>1053</v>
      </c>
      <c r="B115" s="2182"/>
      <c r="C115" s="619"/>
      <c r="D115" s="619"/>
      <c r="E115" s="619"/>
      <c r="F115" s="619"/>
      <c r="G115" s="619"/>
      <c r="H115" s="619"/>
      <c r="I115" s="619"/>
      <c r="J115" s="619"/>
      <c r="K115" s="1706">
        <f>'Revenues 9-14'!C275-'Expenditures 15-22'!K114</f>
        <v>-122763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314</v>
      </c>
      <c r="B117" s="218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125866</v>
      </c>
      <c r="D124" s="466">
        <v>27112</v>
      </c>
      <c r="E124" s="466">
        <v>76546</v>
      </c>
      <c r="F124" s="466">
        <v>115061</v>
      </c>
      <c r="G124" s="466">
        <v>62530</v>
      </c>
      <c r="H124" s="466"/>
      <c r="I124" s="467"/>
      <c r="J124" s="467"/>
      <c r="K124" s="1692">
        <f>SUM(C124:J124)</f>
        <v>407115</v>
      </c>
      <c r="L124" s="466">
        <v>406000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125866</v>
      </c>
      <c r="D127" s="1692">
        <f t="shared" ref="D127:L127" si="14">SUM(D122:D126)</f>
        <v>27112</v>
      </c>
      <c r="E127" s="1692">
        <f t="shared" si="14"/>
        <v>76546</v>
      </c>
      <c r="F127" s="1692">
        <f t="shared" si="14"/>
        <v>115061</v>
      </c>
      <c r="G127" s="1692">
        <f t="shared" si="14"/>
        <v>62530</v>
      </c>
      <c r="H127" s="1692">
        <f t="shared" si="14"/>
        <v>0</v>
      </c>
      <c r="I127" s="1692">
        <f t="shared" si="14"/>
        <v>0</v>
      </c>
      <c r="J127" s="1692">
        <f t="shared" si="14"/>
        <v>0</v>
      </c>
      <c r="K127" s="1692">
        <f t="shared" si="14"/>
        <v>407115</v>
      </c>
      <c r="L127" s="1692">
        <f t="shared" si="14"/>
        <v>406000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125866</v>
      </c>
      <c r="D129" s="1699">
        <f t="shared" ref="D129:L129" si="15">SUM(D120,D127,D128)</f>
        <v>27112</v>
      </c>
      <c r="E129" s="1699">
        <f t="shared" si="15"/>
        <v>76546</v>
      </c>
      <c r="F129" s="1699">
        <f t="shared" si="15"/>
        <v>115061</v>
      </c>
      <c r="G129" s="1699">
        <f t="shared" si="15"/>
        <v>62530</v>
      </c>
      <c r="H129" s="1699">
        <f t="shared" si="15"/>
        <v>0</v>
      </c>
      <c r="I129" s="1699">
        <f t="shared" si="15"/>
        <v>0</v>
      </c>
      <c r="J129" s="1699">
        <f t="shared" si="15"/>
        <v>0</v>
      </c>
      <c r="K129" s="1699">
        <f t="shared" si="15"/>
        <v>407115</v>
      </c>
      <c r="L129" s="1699">
        <f t="shared" si="15"/>
        <v>406000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8" t="s">
        <v>641</v>
      </c>
      <c r="B151" s="2178"/>
      <c r="C151" s="1692">
        <f>SUM(C129,C130,C139,C149,C150)</f>
        <v>125866</v>
      </c>
      <c r="D151" s="1692">
        <f t="shared" ref="D151:K151" si="16">SUM(D129,D130,D139,D149,D150)</f>
        <v>27112</v>
      </c>
      <c r="E151" s="1692">
        <f t="shared" si="16"/>
        <v>76546</v>
      </c>
      <c r="F151" s="1692">
        <f t="shared" si="16"/>
        <v>115061</v>
      </c>
      <c r="G151" s="1692">
        <f t="shared" si="16"/>
        <v>62530</v>
      </c>
      <c r="H151" s="1692">
        <f t="shared" si="16"/>
        <v>0</v>
      </c>
      <c r="I151" s="1692">
        <f t="shared" si="16"/>
        <v>0</v>
      </c>
      <c r="J151" s="1692">
        <f t="shared" si="16"/>
        <v>0</v>
      </c>
      <c r="K151" s="1692">
        <f t="shared" si="16"/>
        <v>407115</v>
      </c>
      <c r="L151" s="1692">
        <f>SUM(L129,L130,L139,L149,L150)</f>
        <v>406000</v>
      </c>
    </row>
    <row r="152" spans="1:14" ht="12.75" customHeight="1" thickTop="1" x14ac:dyDescent="0.2">
      <c r="A152" s="2201" t="s">
        <v>1240</v>
      </c>
      <c r="B152" s="2202"/>
      <c r="C152" s="619"/>
      <c r="D152" s="619"/>
      <c r="E152" s="619"/>
      <c r="F152" s="619"/>
      <c r="G152" s="619"/>
      <c r="H152" s="619"/>
      <c r="I152" s="619"/>
      <c r="J152" s="617"/>
      <c r="K152" s="1706">
        <f>'Revenues 9-14'!D275-'Expenditures 15-22'!K151</f>
        <v>-49362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642</v>
      </c>
      <c r="B154" s="218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402192</v>
      </c>
      <c r="I169" s="617"/>
      <c r="J169" s="617"/>
      <c r="K169" s="1693">
        <f>SUM(C169:H169)</f>
        <v>402192</v>
      </c>
      <c r="L169" s="657">
        <v>401417</v>
      </c>
    </row>
    <row r="170" spans="1:14" ht="33.75" customHeight="1" x14ac:dyDescent="0.2">
      <c r="A170" s="670" t="s">
        <v>1769</v>
      </c>
      <c r="B170" s="672" t="s">
        <v>31</v>
      </c>
      <c r="C170" s="617"/>
      <c r="D170" s="617"/>
      <c r="E170" s="617"/>
      <c r="F170" s="617"/>
      <c r="G170" s="617"/>
      <c r="H170" s="569">
        <v>231899</v>
      </c>
      <c r="I170" s="617"/>
      <c r="J170" s="617"/>
      <c r="K170" s="1693">
        <f>SUM(C170:J170)</f>
        <v>231899</v>
      </c>
      <c r="L170" s="569">
        <v>231783</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634091</v>
      </c>
      <c r="I172" s="639"/>
      <c r="J172" s="617"/>
      <c r="K172" s="1699">
        <f>SUM(K168,K169,K170,K171)</f>
        <v>634091</v>
      </c>
      <c r="L172" s="1699">
        <f>SUM(L168,L169,L170,L171)</f>
        <v>633200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634091</v>
      </c>
      <c r="I174" s="639"/>
      <c r="J174" s="617"/>
      <c r="K174" s="1699">
        <f>SUM(K160,K172,K173)</f>
        <v>634091</v>
      </c>
      <c r="L174" s="1699">
        <f>SUM(L160,L172,L173)</f>
        <v>633200</v>
      </c>
    </row>
    <row r="175" spans="1:14" ht="13.5" thickTop="1" x14ac:dyDescent="0.2">
      <c r="A175" s="2181" t="s">
        <v>1053</v>
      </c>
      <c r="B175" s="2182"/>
      <c r="C175" s="617"/>
      <c r="D175" s="617"/>
      <c r="E175" s="617"/>
      <c r="F175" s="617"/>
      <c r="G175" s="617"/>
      <c r="H175" s="619"/>
      <c r="I175" s="617"/>
      <c r="J175" s="617"/>
      <c r="K175" s="1706">
        <f>'Revenues 9-14'!E275-'Expenditures 15-22'!K174</f>
        <v>-32872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121283</v>
      </c>
      <c r="D182" s="466"/>
      <c r="E182" s="466">
        <v>102637</v>
      </c>
      <c r="F182" s="466">
        <v>30076</v>
      </c>
      <c r="G182" s="466">
        <v>22645</v>
      </c>
      <c r="H182" s="466"/>
      <c r="I182" s="467"/>
      <c r="J182" s="467"/>
      <c r="K182" s="1693">
        <f>SUM(C182:J182)</f>
        <v>276641</v>
      </c>
      <c r="L182" s="466">
        <v>273163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121283</v>
      </c>
      <c r="D184" s="1699">
        <f t="shared" ref="D184:J184" si="17">SUM(D180,D182,D183)</f>
        <v>0</v>
      </c>
      <c r="E184" s="1699">
        <f t="shared" si="17"/>
        <v>102637</v>
      </c>
      <c r="F184" s="1699">
        <f t="shared" si="17"/>
        <v>30076</v>
      </c>
      <c r="G184" s="1699">
        <f t="shared" si="17"/>
        <v>22645</v>
      </c>
      <c r="H184" s="1699">
        <f t="shared" si="17"/>
        <v>0</v>
      </c>
      <c r="I184" s="1699">
        <f t="shared" si="17"/>
        <v>0</v>
      </c>
      <c r="J184" s="1699">
        <f t="shared" si="17"/>
        <v>0</v>
      </c>
      <c r="K184" s="1699">
        <f>SUM(K180,K182,K183)</f>
        <v>276641</v>
      </c>
      <c r="L184" s="1699">
        <f>SUM(L180, L182:L183)</f>
        <v>273163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121283</v>
      </c>
      <c r="D210" s="1692">
        <f>SUM(D184,D185)</f>
        <v>0</v>
      </c>
      <c r="E210" s="1692">
        <f>SUM(E184,E185,E196)</f>
        <v>102637</v>
      </c>
      <c r="F210" s="1692">
        <f>SUM(F184,F185)</f>
        <v>30076</v>
      </c>
      <c r="G210" s="1692">
        <f>SUM(G184,G185)</f>
        <v>22645</v>
      </c>
      <c r="H210" s="1692">
        <f>SUM(H184,H185,H196,H208,H209)</f>
        <v>0</v>
      </c>
      <c r="I210" s="1692">
        <f>SUM(I184,I185)</f>
        <v>0</v>
      </c>
      <c r="J210" s="1692">
        <f>SUM(J184,J185)</f>
        <v>0</v>
      </c>
      <c r="K210" s="1693">
        <f>SUM(K184,K185,K196,K208,K209)</f>
        <v>276641</v>
      </c>
      <c r="L210" s="1692">
        <f>SUM(L184,L185,L196,L208,L209)</f>
        <v>273163</v>
      </c>
    </row>
    <row r="211" spans="1:14" ht="13.5" thickTop="1" x14ac:dyDescent="0.2">
      <c r="A211" s="2181" t="s">
        <v>1053</v>
      </c>
      <c r="B211" s="2182"/>
      <c r="C211" s="619"/>
      <c r="D211" s="619"/>
      <c r="E211" s="619"/>
      <c r="F211" s="619"/>
      <c r="G211" s="619"/>
      <c r="H211" s="619"/>
      <c r="I211" s="617"/>
      <c r="J211" s="617"/>
      <c r="K211" s="1706">
        <f>'Revenues 9-14'!F275-'Expenditures 15-22'!K210</f>
        <v>2204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1022</v>
      </c>
      <c r="B213" s="220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29756</v>
      </c>
      <c r="E215" s="617"/>
      <c r="F215" s="617"/>
      <c r="G215" s="617"/>
      <c r="H215" s="617"/>
      <c r="I215" s="617"/>
      <c r="J215" s="617"/>
      <c r="K215" s="1693">
        <f>D215</f>
        <v>29756</v>
      </c>
      <c r="L215" s="466">
        <v>35075</v>
      </c>
    </row>
    <row r="216" spans="1:14" x14ac:dyDescent="0.2">
      <c r="A216" s="1526" t="s">
        <v>165</v>
      </c>
      <c r="B216" s="615" t="s">
        <v>1024</v>
      </c>
      <c r="C216" s="617"/>
      <c r="D216" s="467">
        <v>2633</v>
      </c>
      <c r="E216" s="617"/>
      <c r="F216" s="617"/>
      <c r="G216" s="617"/>
      <c r="H216" s="617"/>
      <c r="I216" s="617"/>
      <c r="J216" s="617"/>
      <c r="K216" s="1693">
        <f t="shared" ref="K216:K228" si="19">D216</f>
        <v>2633</v>
      </c>
      <c r="L216" s="466">
        <v>2950</v>
      </c>
    </row>
    <row r="217" spans="1:14" x14ac:dyDescent="0.2">
      <c r="A217" s="1526" t="s">
        <v>166</v>
      </c>
      <c r="B217" s="615">
        <v>1200</v>
      </c>
      <c r="C217" s="617"/>
      <c r="D217" s="466">
        <v>27144</v>
      </c>
      <c r="E217" s="617"/>
      <c r="F217" s="617"/>
      <c r="G217" s="617"/>
      <c r="H217" s="617"/>
      <c r="I217" s="617"/>
      <c r="J217" s="617"/>
      <c r="K217" s="1693">
        <f t="shared" si="19"/>
        <v>27144</v>
      </c>
      <c r="L217" s="466">
        <v>22100</v>
      </c>
    </row>
    <row r="218" spans="1:14" x14ac:dyDescent="0.2">
      <c r="A218" s="1526" t="s">
        <v>296</v>
      </c>
      <c r="B218" s="615" t="s">
        <v>1025</v>
      </c>
      <c r="C218" s="617"/>
      <c r="D218" s="467">
        <v>257</v>
      </c>
      <c r="E218" s="617"/>
      <c r="F218" s="617"/>
      <c r="G218" s="617"/>
      <c r="H218" s="617"/>
      <c r="I218" s="617"/>
      <c r="J218" s="617"/>
      <c r="K218" s="1693">
        <f t="shared" si="19"/>
        <v>257</v>
      </c>
      <c r="L218" s="466">
        <v>330</v>
      </c>
    </row>
    <row r="219" spans="1:14" x14ac:dyDescent="0.2">
      <c r="A219" s="1526" t="s">
        <v>297</v>
      </c>
      <c r="B219" s="615">
        <v>1250</v>
      </c>
      <c r="C219" s="617"/>
      <c r="D219" s="466">
        <v>3318</v>
      </c>
      <c r="E219" s="617"/>
      <c r="F219" s="617"/>
      <c r="G219" s="617"/>
      <c r="H219" s="617"/>
      <c r="I219" s="617"/>
      <c r="J219" s="617"/>
      <c r="K219" s="1693">
        <f t="shared" si="19"/>
        <v>3318</v>
      </c>
      <c r="L219" s="466">
        <v>3600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1865</v>
      </c>
      <c r="E222" s="617"/>
      <c r="F222" s="617"/>
      <c r="G222" s="617"/>
      <c r="H222" s="617"/>
      <c r="I222" s="617"/>
      <c r="J222" s="617"/>
      <c r="K222" s="1693">
        <f t="shared" si="19"/>
        <v>1865</v>
      </c>
      <c r="L222" s="466">
        <v>2150</v>
      </c>
    </row>
    <row r="223" spans="1:14" x14ac:dyDescent="0.2">
      <c r="A223" s="1526" t="s">
        <v>1020</v>
      </c>
      <c r="B223" s="615">
        <v>1500</v>
      </c>
      <c r="C223" s="617"/>
      <c r="D223" s="466">
        <v>4103</v>
      </c>
      <c r="E223" s="617"/>
      <c r="F223" s="617"/>
      <c r="G223" s="617"/>
      <c r="H223" s="617"/>
      <c r="I223" s="617"/>
      <c r="J223" s="617"/>
      <c r="K223" s="1693">
        <f t="shared" si="19"/>
        <v>4103</v>
      </c>
      <c r="L223" s="466">
        <v>5390</v>
      </c>
    </row>
    <row r="224" spans="1:14" x14ac:dyDescent="0.2">
      <c r="A224" s="1526" t="s">
        <v>1021</v>
      </c>
      <c r="B224" s="615">
        <v>1600</v>
      </c>
      <c r="C224" s="617"/>
      <c r="D224" s="466">
        <v>29</v>
      </c>
      <c r="E224" s="617"/>
      <c r="F224" s="617"/>
      <c r="G224" s="617"/>
      <c r="H224" s="617"/>
      <c r="I224" s="617"/>
      <c r="J224" s="617"/>
      <c r="K224" s="1693">
        <f t="shared" si="19"/>
        <v>29</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450</v>
      </c>
      <c r="E226" s="617"/>
      <c r="F226" s="617"/>
      <c r="G226" s="617"/>
      <c r="H226" s="617"/>
      <c r="I226" s="617"/>
      <c r="J226" s="617"/>
      <c r="K226" s="1693">
        <f t="shared" si="19"/>
        <v>450</v>
      </c>
      <c r="L226" s="466">
        <v>650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69555</v>
      </c>
      <c r="E229" s="617"/>
      <c r="F229" s="617"/>
      <c r="G229" s="617"/>
      <c r="H229" s="617"/>
      <c r="I229" s="617"/>
      <c r="J229" s="617"/>
      <c r="K229" s="1692">
        <f>SUM(K215:K228)</f>
        <v>69555</v>
      </c>
      <c r="L229" s="1692">
        <f>SUM(L215:L228)</f>
        <v>72245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592</v>
      </c>
      <c r="E233" s="617"/>
      <c r="F233" s="617"/>
      <c r="G233" s="617"/>
      <c r="H233" s="617"/>
      <c r="I233" s="617"/>
      <c r="J233" s="617"/>
      <c r="K233" s="1693">
        <f t="shared" si="20"/>
        <v>592</v>
      </c>
      <c r="L233" s="466">
        <v>675</v>
      </c>
    </row>
    <row r="234" spans="1:12" x14ac:dyDescent="0.2">
      <c r="A234" s="1526" t="s">
        <v>207</v>
      </c>
      <c r="B234" s="615">
        <v>2130</v>
      </c>
      <c r="C234" s="617"/>
      <c r="D234" s="466">
        <v>862</v>
      </c>
      <c r="E234" s="617"/>
      <c r="F234" s="617"/>
      <c r="G234" s="617"/>
      <c r="H234" s="617"/>
      <c r="I234" s="617"/>
      <c r="J234" s="617"/>
      <c r="K234" s="1693">
        <f t="shared" si="20"/>
        <v>862</v>
      </c>
      <c r="L234" s="466">
        <v>975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1454</v>
      </c>
      <c r="E238" s="617"/>
      <c r="F238" s="617"/>
      <c r="G238" s="617"/>
      <c r="H238" s="617"/>
      <c r="I238" s="617"/>
      <c r="J238" s="617"/>
      <c r="K238" s="1692">
        <f>SUM(K232:K237)</f>
        <v>1454</v>
      </c>
      <c r="L238" s="1692">
        <f>SUM(L232:L237)</f>
        <v>1650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6584</v>
      </c>
      <c r="E241" s="617"/>
      <c r="F241" s="617"/>
      <c r="G241" s="617"/>
      <c r="H241" s="617"/>
      <c r="I241" s="617"/>
      <c r="J241" s="617"/>
      <c r="K241" s="1694">
        <f>D241</f>
        <v>6584</v>
      </c>
      <c r="L241" s="466">
        <v>7600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6584</v>
      </c>
      <c r="E243" s="617"/>
      <c r="F243" s="617"/>
      <c r="G243" s="617"/>
      <c r="H243" s="617"/>
      <c r="I243" s="617"/>
      <c r="J243" s="617"/>
      <c r="K243" s="1692">
        <f>SUM(K240:K242)</f>
        <v>6584</v>
      </c>
      <c r="L243" s="1692">
        <f>SUM(L240:L242)</f>
        <v>7600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119</v>
      </c>
      <c r="E245" s="617"/>
      <c r="F245" s="617"/>
      <c r="G245" s="617"/>
      <c r="H245" s="617"/>
      <c r="I245" s="617"/>
      <c r="J245" s="617"/>
      <c r="K245" s="1694">
        <f>D245</f>
        <v>119</v>
      </c>
      <c r="L245" s="481">
        <v>175</v>
      </c>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119</v>
      </c>
      <c r="E257" s="617"/>
      <c r="F257" s="617"/>
      <c r="G257" s="617"/>
      <c r="H257" s="617"/>
      <c r="I257" s="617"/>
      <c r="J257" s="617"/>
      <c r="K257" s="1692">
        <f>SUM(K245:K256)</f>
        <v>119</v>
      </c>
      <c r="L257" s="1692">
        <f>SUM(L245:L256)</f>
        <v>175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12289</v>
      </c>
      <c r="E259" s="617"/>
      <c r="F259" s="617"/>
      <c r="G259" s="617"/>
      <c r="H259" s="617"/>
      <c r="I259" s="617"/>
      <c r="J259" s="617"/>
      <c r="K259" s="1694">
        <f>D259</f>
        <v>12289</v>
      </c>
      <c r="L259" s="481">
        <v>13500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12289</v>
      </c>
      <c r="E261" s="617"/>
      <c r="F261" s="617"/>
      <c r="G261" s="617"/>
      <c r="H261" s="617"/>
      <c r="I261" s="617"/>
      <c r="J261" s="617"/>
      <c r="K261" s="1692">
        <f>SUM(K259:K260)</f>
        <v>12289</v>
      </c>
      <c r="L261" s="1692">
        <f>SUM(L259:L260)</f>
        <v>13500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8791</v>
      </c>
      <c r="E264" s="617"/>
      <c r="F264" s="617"/>
      <c r="G264" s="617"/>
      <c r="H264" s="617"/>
      <c r="I264" s="617"/>
      <c r="J264" s="617"/>
      <c r="K264" s="1694">
        <f t="shared" ref="K264:K269" si="22">D264</f>
        <v>8791</v>
      </c>
      <c r="L264" s="466">
        <v>9800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22880</v>
      </c>
      <c r="E266" s="617"/>
      <c r="F266" s="617"/>
      <c r="G266" s="617"/>
      <c r="H266" s="617"/>
      <c r="I266" s="617"/>
      <c r="J266" s="617"/>
      <c r="K266" s="1694">
        <f t="shared" si="22"/>
        <v>22880</v>
      </c>
      <c r="L266" s="466">
        <v>24600</v>
      </c>
    </row>
    <row r="267" spans="1:14" x14ac:dyDescent="0.2">
      <c r="A267" s="1526" t="s">
        <v>1010</v>
      </c>
      <c r="B267" s="615">
        <v>2550</v>
      </c>
      <c r="C267" s="617"/>
      <c r="D267" s="466">
        <v>18913</v>
      </c>
      <c r="E267" s="617"/>
      <c r="F267" s="617"/>
      <c r="G267" s="617"/>
      <c r="H267" s="617"/>
      <c r="I267" s="617"/>
      <c r="J267" s="617"/>
      <c r="K267" s="1694">
        <f t="shared" si="22"/>
        <v>18913</v>
      </c>
      <c r="L267" s="466">
        <v>20525</v>
      </c>
    </row>
    <row r="268" spans="1:14" x14ac:dyDescent="0.2">
      <c r="A268" s="1526" t="s">
        <v>102</v>
      </c>
      <c r="B268" s="615">
        <v>2560</v>
      </c>
      <c r="C268" s="617"/>
      <c r="D268" s="466">
        <v>11969</v>
      </c>
      <c r="E268" s="617"/>
      <c r="F268" s="617"/>
      <c r="G268" s="617"/>
      <c r="H268" s="617"/>
      <c r="I268" s="617"/>
      <c r="J268" s="617"/>
      <c r="K268" s="1694">
        <f t="shared" si="22"/>
        <v>11969</v>
      </c>
      <c r="L268" s="466">
        <v>13100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62553</v>
      </c>
      <c r="E270" s="617"/>
      <c r="F270" s="617"/>
      <c r="G270" s="617"/>
      <c r="H270" s="617"/>
      <c r="I270" s="617"/>
      <c r="J270" s="617"/>
      <c r="K270" s="1692">
        <f>SUM(K263:K269)</f>
        <v>62553</v>
      </c>
      <c r="L270" s="1692">
        <f>SUM(L263:L269)</f>
        <v>68025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82999</v>
      </c>
      <c r="E279" s="617"/>
      <c r="F279" s="617"/>
      <c r="G279" s="617"/>
      <c r="H279" s="617"/>
      <c r="I279" s="617"/>
      <c r="J279" s="617"/>
      <c r="K279" s="1699">
        <f>SUM(K238,K243,K257,K261,K270,K277,K278)</f>
        <v>82999</v>
      </c>
      <c r="L279" s="1699">
        <f>SUM(L238,L243,L257,L261,L270,L277,L278)</f>
        <v>90950</v>
      </c>
    </row>
    <row r="280" spans="1:12" ht="15.75" customHeight="1" thickTop="1" thickBot="1" x14ac:dyDescent="0.25">
      <c r="A280" s="1646" t="s">
        <v>930</v>
      </c>
      <c r="B280" s="1635">
        <v>3000</v>
      </c>
      <c r="C280" s="617"/>
      <c r="D280" s="576">
        <v>19005</v>
      </c>
      <c r="E280" s="617"/>
      <c r="F280" s="617"/>
      <c r="G280" s="617"/>
      <c r="H280" s="617"/>
      <c r="I280" s="617"/>
      <c r="J280" s="617"/>
      <c r="K280" s="1701">
        <f>D280</f>
        <v>19005</v>
      </c>
      <c r="L280" s="576">
        <v>20300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9" t="s">
        <v>526</v>
      </c>
      <c r="B295" s="2200"/>
      <c r="C295" s="617"/>
      <c r="D295" s="1692">
        <f>SUM(D229,D279,D280,D285)</f>
        <v>171559</v>
      </c>
      <c r="E295" s="617"/>
      <c r="F295" s="617"/>
      <c r="G295" s="617"/>
      <c r="H295" s="1692">
        <f>H293</f>
        <v>0</v>
      </c>
      <c r="I295" s="617"/>
      <c r="J295" s="617"/>
      <c r="K295" s="1692">
        <f>SUM(K229,K279,K280,K285,K293,K294)</f>
        <v>171559</v>
      </c>
      <c r="L295" s="1692">
        <f>SUM(L229,L279,L280,L285,L293,L294)</f>
        <v>183495</v>
      </c>
    </row>
    <row r="296" spans="1:14" ht="13.5" thickTop="1" x14ac:dyDescent="0.2">
      <c r="A296" s="2181" t="s">
        <v>1053</v>
      </c>
      <c r="B296" s="2182"/>
      <c r="C296" s="617"/>
      <c r="D296" s="619"/>
      <c r="E296" s="617"/>
      <c r="F296" s="617"/>
      <c r="G296" s="617"/>
      <c r="H296" s="688"/>
      <c r="I296" s="617"/>
      <c r="J296" s="617"/>
      <c r="K296" s="1706">
        <f>'Revenues 9-14'!G275-'Expenditures 15-22'!K295</f>
        <v>17262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6" t="s">
        <v>295</v>
      </c>
      <c r="B312" s="219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2" t="s">
        <v>1053</v>
      </c>
      <c r="B313" s="219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954</v>
      </c>
      <c r="B317" s="220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22764</v>
      </c>
      <c r="F320" s="467"/>
      <c r="G320" s="467"/>
      <c r="H320" s="467"/>
      <c r="I320" s="467"/>
      <c r="J320" s="467"/>
      <c r="K320" s="1693">
        <f t="shared" ref="K320:K327" si="24">SUM(C320:J320)</f>
        <v>22764</v>
      </c>
      <c r="L320" s="467">
        <v>22788</v>
      </c>
      <c r="M320" s="666"/>
      <c r="N320" s="666"/>
    </row>
    <row r="321" spans="1:14" s="675" customFormat="1" x14ac:dyDescent="0.2">
      <c r="A321" s="1541" t="s">
        <v>318</v>
      </c>
      <c r="B321" s="698" t="s">
        <v>301</v>
      </c>
      <c r="C321" s="467"/>
      <c r="D321" s="467"/>
      <c r="E321" s="467">
        <v>2294</v>
      </c>
      <c r="F321" s="467"/>
      <c r="G321" s="467"/>
      <c r="H321" s="467"/>
      <c r="I321" s="467"/>
      <c r="J321" s="467"/>
      <c r="K321" s="1693">
        <f t="shared" si="24"/>
        <v>2294</v>
      </c>
      <c r="L321" s="467">
        <v>2500</v>
      </c>
      <c r="M321" s="666"/>
      <c r="N321" s="666"/>
    </row>
    <row r="322" spans="1:14" s="675" customFormat="1" x14ac:dyDescent="0.2">
      <c r="A322" s="1541" t="s">
        <v>256</v>
      </c>
      <c r="B322" s="698" t="s">
        <v>302</v>
      </c>
      <c r="C322" s="467"/>
      <c r="D322" s="467"/>
      <c r="E322" s="467">
        <v>30384</v>
      </c>
      <c r="F322" s="467"/>
      <c r="G322" s="467"/>
      <c r="H322" s="467"/>
      <c r="I322" s="467"/>
      <c r="J322" s="467"/>
      <c r="K322" s="1693">
        <f t="shared" si="24"/>
        <v>30384</v>
      </c>
      <c r="L322" s="467">
        <v>30400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6500</v>
      </c>
      <c r="F325" s="467"/>
      <c r="G325" s="467"/>
      <c r="H325" s="467"/>
      <c r="I325" s="467"/>
      <c r="J325" s="467"/>
      <c r="K325" s="1693">
        <f t="shared" si="24"/>
        <v>6500</v>
      </c>
      <c r="L325" s="467">
        <v>6500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49101</v>
      </c>
      <c r="F327" s="467"/>
      <c r="G327" s="467"/>
      <c r="H327" s="467"/>
      <c r="I327" s="467"/>
      <c r="J327" s="467"/>
      <c r="K327" s="1693">
        <f t="shared" si="24"/>
        <v>49101</v>
      </c>
      <c r="L327" s="467">
        <v>51000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111043</v>
      </c>
      <c r="F330" s="1692">
        <f t="shared" si="25"/>
        <v>0</v>
      </c>
      <c r="G330" s="1692">
        <f t="shared" si="25"/>
        <v>0</v>
      </c>
      <c r="H330" s="1692">
        <f t="shared" si="25"/>
        <v>0</v>
      </c>
      <c r="I330" s="1692">
        <f t="shared" si="25"/>
        <v>0</v>
      </c>
      <c r="J330" s="1692">
        <f t="shared" si="25"/>
        <v>0</v>
      </c>
      <c r="K330" s="1692">
        <f>SUM(K319:K329)</f>
        <v>111043</v>
      </c>
      <c r="L330" s="1692">
        <f>SUM(L319:L329)</f>
        <v>113188</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111043</v>
      </c>
      <c r="F342" s="1692">
        <f>SUM(F330)</f>
        <v>0</v>
      </c>
      <c r="G342" s="1692">
        <f>SUM(G330)</f>
        <v>0</v>
      </c>
      <c r="H342" s="1692">
        <f>SUM(H330,H334,H340)</f>
        <v>0</v>
      </c>
      <c r="I342" s="1692">
        <f>SUM(I330)</f>
        <v>0</v>
      </c>
      <c r="J342" s="1692">
        <f>SUM(J330)</f>
        <v>0</v>
      </c>
      <c r="K342" s="1692">
        <f>SUM(K330,K334,K340)</f>
        <v>111043</v>
      </c>
      <c r="L342" s="1699">
        <f>SUM(L330,L340,L341)</f>
        <v>113188</v>
      </c>
    </row>
    <row r="343" spans="1:14" ht="12.75" customHeight="1" thickTop="1" x14ac:dyDescent="0.2">
      <c r="A343" s="2194" t="s">
        <v>1053</v>
      </c>
      <c r="B343" s="2195"/>
      <c r="C343" s="617"/>
      <c r="D343" s="617"/>
      <c r="E343" s="617"/>
      <c r="F343" s="617"/>
      <c r="G343" s="617"/>
      <c r="H343" s="617"/>
      <c r="I343" s="617"/>
      <c r="J343" s="617"/>
      <c r="K343" s="1706">
        <f>'Revenues 9-14'!J275-'Expenditures 15-22'!K342</f>
        <v>2649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1023</v>
      </c>
      <c r="B345" s="218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686</v>
      </c>
      <c r="F348" s="466"/>
      <c r="G348" s="466"/>
      <c r="H348" s="466"/>
      <c r="I348" s="467"/>
      <c r="J348" s="467"/>
      <c r="K348" s="1693">
        <f>SUM(C348:J348)</f>
        <v>686</v>
      </c>
      <c r="L348" s="466">
        <v>1000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686</v>
      </c>
      <c r="F350" s="1692">
        <f t="shared" si="26"/>
        <v>0</v>
      </c>
      <c r="G350" s="1692">
        <f t="shared" si="26"/>
        <v>0</v>
      </c>
      <c r="H350" s="1692">
        <f t="shared" si="26"/>
        <v>0</v>
      </c>
      <c r="I350" s="1692">
        <f t="shared" si="26"/>
        <v>0</v>
      </c>
      <c r="J350" s="1692">
        <f t="shared" si="26"/>
        <v>0</v>
      </c>
      <c r="K350" s="1692">
        <f t="shared" si="26"/>
        <v>686</v>
      </c>
      <c r="L350" s="1692">
        <f t="shared" si="26"/>
        <v>1000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686</v>
      </c>
      <c r="F352" s="1692">
        <f t="shared" si="27"/>
        <v>0</v>
      </c>
      <c r="G352" s="1692">
        <f t="shared" si="27"/>
        <v>0</v>
      </c>
      <c r="H352" s="1692">
        <f t="shared" si="27"/>
        <v>0</v>
      </c>
      <c r="I352" s="1692">
        <f t="shared" si="27"/>
        <v>0</v>
      </c>
      <c r="J352" s="1692">
        <f t="shared" si="27"/>
        <v>0</v>
      </c>
      <c r="K352" s="1692">
        <f t="shared" si="27"/>
        <v>686</v>
      </c>
      <c r="L352" s="1692">
        <f t="shared" si="27"/>
        <v>1000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686</v>
      </c>
      <c r="F367" s="1692">
        <f t="shared" si="28"/>
        <v>0</v>
      </c>
      <c r="G367" s="1692">
        <f t="shared" si="28"/>
        <v>0</v>
      </c>
      <c r="H367" s="1692">
        <f t="shared" si="28"/>
        <v>0</v>
      </c>
      <c r="I367" s="1692">
        <f t="shared" si="28"/>
        <v>0</v>
      </c>
      <c r="J367" s="1692">
        <f t="shared" si="28"/>
        <v>0</v>
      </c>
      <c r="K367" s="1692">
        <f t="shared" si="28"/>
        <v>686</v>
      </c>
      <c r="L367" s="1692">
        <f t="shared" si="28"/>
        <v>1000</v>
      </c>
    </row>
    <row r="368" spans="1:14" ht="13.5" thickTop="1" x14ac:dyDescent="0.2">
      <c r="A368" s="2181" t="s">
        <v>1053</v>
      </c>
      <c r="B368" s="2182"/>
      <c r="C368" s="655"/>
      <c r="D368" s="655"/>
      <c r="E368" s="627"/>
      <c r="F368" s="627"/>
      <c r="G368" s="627"/>
      <c r="H368" s="627"/>
      <c r="I368" s="627"/>
      <c r="J368" s="624"/>
      <c r="K368" s="1693">
        <f>'Revenues 9-14'!K275-'Expenditures 15-22'!K367</f>
        <v>27155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terms/"/>
    <ds:schemaRef ds:uri="d21dc803-237d-4c68-8692-8d731fd29118"/>
    <ds:schemaRef ds:uri="http://schemas.microsoft.com/office/2006/metadata/properties"/>
    <ds:schemaRef ds:uri="http://purl.org/dc/elements/1.1/"/>
    <ds:schemaRef ds:uri="http://www.w3.org/XML/1998/namespace"/>
    <ds:schemaRef ds:uri="http://schemas.microsoft.com/office/2006/documentManagement/types"/>
    <ds:schemaRef ds:uri="http://schemas.microsoft.com/sharepoint/v3"/>
    <ds:schemaRef ds:uri="http://schemas.microsoft.com/office/infopath/2007/PartnerControls"/>
    <ds:schemaRef ds:uri="http://purl.org/dc/dcmitype/"/>
    <ds:schemaRef ds:uri="http://schemas.openxmlformats.org/package/2006/metadata/core-propertie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2018-11-05T15:18:35Z</cp:lastPrinted>
  <dcterms:created xsi:type="dcterms:W3CDTF">2003-10-29T19:06:34Z</dcterms:created>
  <dcterms:modified xsi:type="dcterms:W3CDTF">2018-11-29T20:30:40Z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Pearl City CUSD #200</vt:lpwstr>
  </property>
  <property fmtid="{D5CDD505-2E9C-101B-9397-08002B2CF9AE}" pid="6" name="PPC_Template_Engagement_Date">
    <vt:lpwstr>6/30/2018</vt:lpwstr>
  </property>
</Properties>
</file>