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8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6" r:id="rId32"/>
    <sheet name="SF&amp;QC Sec-1" sheetId="174" r:id="rId33"/>
    <sheet name="SF&amp;QC Sec-2" sheetId="175" r:id="rId34"/>
    <sheet name="SF&amp;QC Sec-2 (2)" sheetId="187" r:id="rId35"/>
    <sheet name="SF&amp;QC Sec-2 (3)" sheetId="188"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6">'SF&amp;QC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8" l="1"/>
  <c r="B2" i="188"/>
  <c r="B1" i="188"/>
  <c r="B4" i="187"/>
  <c r="B2" i="187"/>
  <c r="B1" i="187"/>
  <c r="B4" i="186"/>
  <c r="B2" i="186"/>
  <c r="B1" i="186"/>
  <c r="B4" i="184" l="1"/>
  <c r="B2" i="184"/>
  <c r="B1" i="184"/>
  <c r="B4" i="183"/>
  <c r="B2" i="183"/>
  <c r="B1" i="183"/>
  <c r="C32" i="3"/>
  <c r="J26" i="179" l="1"/>
  <c r="I26" i="179"/>
  <c r="H26" i="179"/>
  <c r="G26" i="179"/>
  <c r="F26" i="179"/>
  <c r="E26" i="179"/>
  <c r="K9" i="12" l="1"/>
  <c r="K7" i="12"/>
  <c r="H5" i="12"/>
  <c r="H14" i="12" s="1"/>
  <c r="C171" i="5" l="1"/>
  <c r="C8"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C33" i="173" s="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14" i="12" s="1"/>
  <c r="K23" i="12"/>
  <c r="K24" i="12" s="1"/>
  <c r="J12" i="12"/>
  <c r="J21" i="12"/>
  <c r="J23" i="12"/>
  <c r="B7729" i="106"/>
  <c r="D7729" i="106" s="1"/>
  <c r="B7734" i="106"/>
  <c r="B7726" i="10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3" i="106"/>
  <c r="D6373" i="106" s="1"/>
  <c r="B6374" i="106"/>
  <c r="D6374" i="106" s="1"/>
  <c r="B6375" i="106"/>
  <c r="D6375" i="106" s="1"/>
  <c r="B6376" i="106"/>
  <c r="D6376" i="106" s="1"/>
  <c r="B6377" i="106"/>
  <c r="D6377" i="106" s="1"/>
  <c r="B6378" i="106"/>
  <c r="D6378" i="106"/>
  <c r="B6379" i="106"/>
  <c r="D6379" i="106" s="1"/>
  <c r="B6380" i="106"/>
  <c r="D6380" i="106"/>
  <c r="B6381" i="106"/>
  <c r="D6381" i="106" s="1"/>
  <c r="B6382" i="106"/>
  <c r="D6382" i="106" s="1"/>
  <c r="B6383" i="106"/>
  <c r="D6383" i="106" s="1"/>
  <c r="B6384" i="106"/>
  <c r="D6384" i="106"/>
  <c r="B6385" i="106"/>
  <c r="D6385" i="106" s="1"/>
  <c r="B6386" i="106"/>
  <c r="D6386" i="106"/>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c r="B6638" i="106"/>
  <c r="D6638" i="106" s="1"/>
  <c r="B6639" i="106"/>
  <c r="D6639" i="106"/>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c r="B6670" i="106"/>
  <c r="D6670" i="106" s="1"/>
  <c r="B6671" i="106"/>
  <c r="D6671" i="106"/>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c r="B6702" i="106"/>
  <c r="D6702" i="106" s="1"/>
  <c r="B6703" i="106"/>
  <c r="D6703" i="106"/>
  <c r="B6704" i="106"/>
  <c r="D6704" i="106" s="1"/>
  <c r="B6705" i="106"/>
  <c r="D6705" i="106" s="1"/>
  <c r="B6706" i="106"/>
  <c r="D6706" i="106" s="1"/>
  <c r="B6707" i="106"/>
  <c r="D6707" i="106" s="1"/>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G26" i="108"/>
  <c r="D27" i="108"/>
  <c r="E27" i="108"/>
  <c r="G27" i="108"/>
  <c r="E28" i="108"/>
  <c r="F28" i="108"/>
  <c r="F31" i="108"/>
  <c r="F36" i="108"/>
  <c r="F37" i="108"/>
  <c r="G28" i="108"/>
  <c r="G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11" i="37"/>
  <c r="D22" i="37"/>
  <c r="J22" i="37"/>
  <c r="L22" i="37"/>
  <c r="D24" i="37"/>
  <c r="B4270" i="106" s="1"/>
  <c r="D4270" i="106" s="1"/>
  <c r="D4" i="7"/>
  <c r="B1760" i="106" s="1"/>
  <c r="D1760" i="106" s="1"/>
  <c r="D5" i="7"/>
  <c r="B1761" i="106" s="1"/>
  <c r="D1761" i="106" s="1"/>
  <c r="D13" i="7"/>
  <c r="B3726" i="106" s="1"/>
  <c r="D3726" i="106" s="1"/>
  <c r="D9" i="7"/>
  <c r="B1767" i="106" s="1"/>
  <c r="D1767" i="106" s="1"/>
  <c r="B5599" i="106"/>
  <c r="D5599" i="106" s="1"/>
  <c r="K274" i="5"/>
  <c r="B1746" i="106"/>
  <c r="D1746" i="106" s="1"/>
  <c r="D17" i="7"/>
  <c r="B4104" i="106" s="1"/>
  <c r="D4104" i="106" s="1"/>
  <c r="D12" i="7"/>
  <c r="B1769" i="106" s="1"/>
  <c r="D1769" i="106" s="1"/>
  <c r="I129" i="29" l="1"/>
  <c r="B7037" i="106" s="1"/>
  <c r="D7037" i="106" s="1"/>
  <c r="I342" i="29"/>
  <c r="B7222" i="106" s="1"/>
  <c r="D7222" i="106" s="1"/>
  <c r="B2029" i="106"/>
  <c r="D2029" i="106" s="1"/>
  <c r="M19" i="3"/>
  <c r="B276" i="106" s="1"/>
  <c r="D276" i="106" s="1"/>
  <c r="F111" i="34"/>
  <c r="J274" i="5"/>
  <c r="B7054" i="106" s="1"/>
  <c r="D7054" i="106" s="1"/>
  <c r="F128" i="34"/>
  <c r="F44" i="34"/>
  <c r="B2028" i="106"/>
  <c r="D2028" i="106" s="1"/>
  <c r="M18" i="3"/>
  <c r="B275" i="106" s="1"/>
  <c r="D275" i="106" s="1"/>
  <c r="N22" i="3"/>
  <c r="B283" i="106" s="1"/>
  <c r="D283" i="106" s="1"/>
  <c r="F130" i="34"/>
  <c r="B2027" i="106"/>
  <c r="D2027" i="106" s="1"/>
  <c r="M17" i="3"/>
  <c r="B274" i="106" s="1"/>
  <c r="D274" i="106" s="1"/>
  <c r="B2026" i="106"/>
  <c r="D2026" i="106" s="1"/>
  <c r="M16" i="3"/>
  <c r="F19" i="7"/>
  <c r="B1807" i="106" s="1"/>
  <c r="D1807" i="106" s="1"/>
  <c r="L13" i="11"/>
  <c r="B2060" i="106" s="1"/>
  <c r="D2060" i="106" s="1"/>
  <c r="D69" i="36"/>
  <c r="G35" i="108"/>
  <c r="E35" i="108"/>
  <c r="B1124" i="106"/>
  <c r="D1124" i="106" s="1"/>
  <c r="F38" i="34"/>
  <c r="E26" i="108"/>
  <c r="B1274" i="106"/>
  <c r="D1274" i="106" s="1"/>
  <c r="K350" i="29"/>
  <c r="B3670" i="106" s="1"/>
  <c r="D3670" i="106" s="1"/>
  <c r="E15" i="145"/>
  <c r="G15" i="145" s="1"/>
  <c r="F26" i="108"/>
  <c r="F41" i="108" s="1"/>
  <c r="G43" i="108" s="1"/>
  <c r="B1126" i="106"/>
  <c r="D1126" i="106" s="1"/>
  <c r="B7733" i="106"/>
  <c r="D7733" i="106" s="1"/>
  <c r="K26" i="12"/>
  <c r="B7743" i="106" s="1"/>
  <c r="D7743" i="106" s="1"/>
  <c r="J210" i="29"/>
  <c r="B7072" i="106" s="1"/>
  <c r="D7072" i="106" s="1"/>
  <c r="B7199" i="106"/>
  <c r="D7199" i="106" s="1"/>
  <c r="C342" i="29"/>
  <c r="B7216" i="106" s="1"/>
  <c r="D7216" i="106" s="1"/>
  <c r="D11" i="7"/>
  <c r="B1768" i="106" s="1"/>
  <c r="D1768" i="106" s="1"/>
  <c r="K173" i="5"/>
  <c r="K6" i="4" s="1"/>
  <c r="B3570" i="106" s="1"/>
  <c r="D3570" i="106" s="1"/>
  <c r="F45" i="34"/>
  <c r="J352" i="29"/>
  <c r="J367" i="29" s="1"/>
  <c r="B7245" i="106" s="1"/>
  <c r="D7245" i="106" s="1"/>
  <c r="I210" i="29"/>
  <c r="B1308" i="106"/>
  <c r="D1308" i="106" s="1"/>
  <c r="E174" i="29"/>
  <c r="B1309" i="106" s="1"/>
  <c r="D1309" i="106" s="1"/>
  <c r="E29" i="108"/>
  <c r="F41" i="34"/>
  <c r="H109" i="5"/>
  <c r="B6025" i="106" s="1"/>
  <c r="D6025" i="106" s="1"/>
  <c r="F131" i="34"/>
  <c r="C172" i="5"/>
  <c r="B5214" i="106" s="1"/>
  <c r="D5214" i="106" s="1"/>
  <c r="F136" i="34"/>
  <c r="F34" i="34"/>
  <c r="B3647" i="106"/>
  <c r="D3647" i="106" s="1"/>
  <c r="G352" i="29"/>
  <c r="B3649" i="106" s="1"/>
  <c r="D3649" i="106" s="1"/>
  <c r="B3619" i="106"/>
  <c r="D3619" i="106" s="1"/>
  <c r="F77" i="4"/>
  <c r="B3255" i="106" s="1"/>
  <c r="D3255" i="106" s="1"/>
  <c r="L367" i="29"/>
  <c r="H4" i="4"/>
  <c r="B2655" i="106" s="1"/>
  <c r="D2655" i="106" s="1"/>
  <c r="G172" i="5"/>
  <c r="B4357" i="106"/>
  <c r="D4357" i="106" s="1"/>
  <c r="B5730" i="106"/>
  <c r="D5730" i="106" s="1"/>
  <c r="G109" i="5"/>
  <c r="D7" i="7"/>
  <c r="B1763" i="106" s="1"/>
  <c r="D1763" i="106" s="1"/>
  <c r="F127" i="34"/>
  <c r="F106" i="34"/>
  <c r="H173" i="5"/>
  <c r="B5112" i="106"/>
  <c r="D5112" i="106" s="1"/>
  <c r="C109" i="5"/>
  <c r="B5121" i="106" s="1"/>
  <c r="D5121" i="106" s="1"/>
  <c r="D15" i="7"/>
  <c r="B1772" i="106" s="1"/>
  <c r="D1772" i="106" s="1"/>
  <c r="D109" i="5"/>
  <c r="K28" i="118"/>
  <c r="O27" i="118" s="1"/>
  <c r="O29" i="118" s="1"/>
  <c r="B5518" i="106"/>
  <c r="D5518" i="106" s="1"/>
  <c r="E109" i="5"/>
  <c r="E4" i="4" s="1"/>
  <c r="B2630" i="106" s="1"/>
  <c r="D2630" i="106" s="1"/>
  <c r="B6858" i="106"/>
  <c r="D6858" i="106" s="1"/>
  <c r="F36" i="34"/>
  <c r="L342" i="29"/>
  <c r="B7235" i="106"/>
  <c r="D7235" i="106" s="1"/>
  <c r="B6238" i="106"/>
  <c r="D6238" i="106" s="1"/>
  <c r="J77" i="4"/>
  <c r="B6262" i="106" s="1"/>
  <c r="D6262" i="106" s="1"/>
  <c r="B3621" i="106"/>
  <c r="D3621" i="106" s="1"/>
  <c r="C367" i="29"/>
  <c r="F172" i="5"/>
  <c r="B5644" i="106" s="1"/>
  <c r="D5644" i="106" s="1"/>
  <c r="L312" i="29"/>
  <c r="F21" i="8"/>
  <c r="K184" i="29"/>
  <c r="F13" i="4" s="1"/>
  <c r="B2596" i="106" s="1"/>
  <c r="D2596" i="106" s="1"/>
  <c r="L15" i="11"/>
  <c r="B3459" i="106" s="1"/>
  <c r="D3459" i="106" s="1"/>
  <c r="G210" i="29"/>
  <c r="D6103" i="106"/>
  <c r="H365" i="29"/>
  <c r="K76" i="4"/>
  <c r="B3586" i="106" s="1"/>
  <c r="D3586" i="106" s="1"/>
  <c r="I24" i="12"/>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J7" i="4"/>
  <c r="D274" i="5"/>
  <c r="B3447" i="106"/>
  <c r="D3447" i="106" s="1"/>
  <c r="B7270" i="106"/>
  <c r="M23" i="3" l="1"/>
  <c r="B273" i="106"/>
  <c r="D273" i="106" s="1"/>
  <c r="H151" i="29"/>
  <c r="B1273" i="106" s="1"/>
  <c r="D1273" i="106" s="1"/>
  <c r="B1381" i="106"/>
  <c r="D1381" i="106" s="1"/>
  <c r="F274" i="5"/>
  <c r="F173" i="5"/>
  <c r="K352" i="29"/>
  <c r="K367" i="29"/>
  <c r="B5914" i="106"/>
  <c r="D5914" i="106" s="1"/>
  <c r="B5527" i="106"/>
  <c r="D5527" i="106" s="1"/>
  <c r="C173" i="5"/>
  <c r="B5223" i="106" s="1"/>
  <c r="D5223" i="106" s="1"/>
  <c r="G367" i="29"/>
  <c r="B3650" i="106" s="1"/>
  <c r="D3650" i="106" s="1"/>
  <c r="H275" i="5"/>
  <c r="D19" i="7"/>
  <c r="B1775" i="106" s="1"/>
  <c r="D1775" i="106" s="1"/>
  <c r="D7254" i="106"/>
  <c r="K342" i="29"/>
  <c r="F13" i="34" s="1"/>
  <c r="B7071" i="106"/>
  <c r="D7071" i="106" s="1"/>
  <c r="F66" i="34"/>
  <c r="L114" i="29"/>
  <c r="F73" i="34"/>
  <c r="G15" i="4"/>
  <c r="B6032" i="106" s="1"/>
  <c r="D6032" i="106" s="1"/>
  <c r="B1365" i="106"/>
  <c r="D1365" i="106" s="1"/>
  <c r="F65" i="34"/>
  <c r="B3628" i="106"/>
  <c r="D3628" i="106" s="1"/>
  <c r="D7256" i="106"/>
  <c r="D7251" i="106"/>
  <c r="C114" i="29"/>
  <c r="B757" i="106" s="1"/>
  <c r="D757" i="106" s="1"/>
  <c r="H367" i="29"/>
  <c r="B3660" i="106" s="1"/>
  <c r="D3660" i="106" s="1"/>
  <c r="B7242" i="106"/>
  <c r="D7242" i="106" s="1"/>
  <c r="B1879" i="106"/>
  <c r="D1879" i="106" s="1"/>
  <c r="H22" i="37"/>
  <c r="B1317" i="106"/>
  <c r="D1317" i="106" s="1"/>
  <c r="D7253" i="106"/>
  <c r="C4" i="4"/>
  <c r="B2551" i="106" s="1"/>
  <c r="D2551" i="106" s="1"/>
  <c r="B5356" i="106"/>
  <c r="D5356" i="106" s="1"/>
  <c r="D4" i="4"/>
  <c r="B2564" i="106" s="1"/>
  <c r="D2564" i="106" s="1"/>
  <c r="B5906" i="106"/>
  <c r="D5906" i="106" s="1"/>
  <c r="H6" i="4"/>
  <c r="G173" i="5"/>
  <c r="B5770" i="106"/>
  <c r="D5770" i="106" s="1"/>
  <c r="L16" i="11"/>
  <c r="B2061" i="106" s="1"/>
  <c r="D2061" i="106" s="1"/>
  <c r="B1996" i="106"/>
  <c r="D1996" i="106" s="1"/>
  <c r="I26" i="12"/>
  <c r="B7741" i="106" s="1"/>
  <c r="D7741" i="106" s="1"/>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7224" i="106" l="1"/>
  <c r="D7224" i="106" s="1"/>
  <c r="J8" i="4"/>
  <c r="B6223" i="106" s="1"/>
  <c r="D6223" i="106" s="1"/>
  <c r="B279" i="106"/>
  <c r="D279" i="106" s="1"/>
  <c r="M40" i="3"/>
  <c r="B1145" i="106"/>
  <c r="D1145" i="106" s="1"/>
  <c r="C6" i="4"/>
  <c r="B2553" i="106" s="1"/>
  <c r="D2553" i="106" s="1"/>
  <c r="B5653" i="106"/>
  <c r="D5653" i="106" s="1"/>
  <c r="F6" i="4"/>
  <c r="F275" i="5"/>
  <c r="B5720" i="106" s="1"/>
  <c r="D5720" i="106" s="1"/>
  <c r="K13" i="4"/>
  <c r="B3572" i="106" s="1"/>
  <c r="D3572" i="106" s="1"/>
  <c r="B3672" i="106"/>
  <c r="D3672" i="106" s="1"/>
  <c r="B5778" i="106"/>
  <c r="D5778" i="106" s="1"/>
  <c r="G6" i="4"/>
  <c r="B2604" i="106" s="1"/>
  <c r="D2604" i="106" s="1"/>
  <c r="G41" i="108"/>
  <c r="G44" i="108" s="1"/>
  <c r="G45" i="108" s="1"/>
  <c r="B2656" i="106"/>
  <c r="D2656" i="106" s="1"/>
  <c r="H8" i="4"/>
  <c r="E41" i="108"/>
  <c r="E44" i="108" s="1"/>
  <c r="E45" i="108" s="1"/>
  <c r="J17"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K17" i="4" l="1"/>
  <c r="B3575" i="106" s="1"/>
  <c r="D3575" i="106" s="1"/>
  <c r="B280" i="106"/>
  <c r="D280" i="106" s="1"/>
  <c r="M41" i="3"/>
  <c r="F76" i="34"/>
  <c r="B2593" i="106"/>
  <c r="D2593" i="106" s="1"/>
  <c r="F8" i="4"/>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K19" i="4"/>
  <c r="B4144" i="106" s="1"/>
  <c r="D4144" i="106" s="1"/>
  <c r="B281" i="106"/>
  <c r="D281" i="106" s="1"/>
  <c r="D54" i="36"/>
  <c r="D8" i="146"/>
  <c r="F10" i="4"/>
  <c r="B4125" i="106" s="1"/>
  <c r="D4125" i="106" s="1"/>
  <c r="B2595" i="106"/>
  <c r="D2595" i="106" s="1"/>
  <c r="H13" i="118"/>
  <c r="D10" i="4"/>
  <c r="B4123" i="106" s="1"/>
  <c r="D4123" i="106" s="1"/>
  <c r="B2568" i="106"/>
  <c r="D2568" i="106" s="1"/>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179" i="34" l="1"/>
  <c r="F79" i="34"/>
  <c r="J41" i="3"/>
  <c r="B6215" i="106"/>
  <c r="D6215" i="106" s="1"/>
  <c r="D78" i="4"/>
  <c r="D81" i="4" s="1"/>
  <c r="D39" i="3" s="1"/>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123" i="106"/>
  <c r="D123" i="106" s="1"/>
  <c r="D41" i="3"/>
  <c r="B212" i="106"/>
  <c r="D212" i="106" s="1"/>
  <c r="H41" i="3"/>
  <c r="B3239" i="106"/>
  <c r="D3239" i="106" s="1"/>
  <c r="B2912" i="106"/>
  <c r="D2912" i="106" s="1"/>
  <c r="I41" i="3"/>
  <c r="B6216" i="106"/>
  <c r="D6216" i="106" s="1"/>
  <c r="D51" i="36"/>
  <c r="B3567" i="106"/>
  <c r="D3567" i="106" s="1"/>
  <c r="K41" i="3"/>
  <c r="B3278" i="106"/>
  <c r="D3278" i="106" s="1"/>
  <c r="E81" i="4"/>
  <c r="E39" i="3" s="1"/>
  <c r="N21"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92" i="106"/>
  <c r="D92" i="106" s="1"/>
  <c r="C41" i="3"/>
  <c r="B124" i="106"/>
  <c r="D124" i="106" s="1"/>
  <c r="D45" i="36"/>
  <c r="B140" i="106"/>
  <c r="D140" i="106" s="1"/>
  <c r="E41" i="3"/>
  <c r="B170" i="106"/>
  <c r="D170" i="106" s="1"/>
  <c r="F41" i="3"/>
  <c r="B189" i="106"/>
  <c r="D189" i="106" s="1"/>
  <c r="G41" i="3"/>
  <c r="D76" i="36"/>
  <c r="B213" i="106"/>
  <c r="D213" i="106" s="1"/>
  <c r="D49" i="36"/>
  <c r="B2913" i="106"/>
  <c r="D2913" i="106" s="1"/>
  <c r="D50" i="36"/>
  <c r="D52" i="36"/>
  <c r="B3568" i="106"/>
  <c r="D3568"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D46" i="36"/>
  <c r="B141" i="106"/>
  <c r="D141" i="106" s="1"/>
  <c r="B171" i="106"/>
  <c r="D171" i="106" s="1"/>
  <c r="D47" i="36"/>
  <c r="D48" i="36"/>
  <c r="B190" i="106"/>
  <c r="D190"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<sst xmlns="http://schemas.openxmlformats.org/spreadsheetml/2006/main" count="5479" uniqueCount="2239">
  <si>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</si>
  <si>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</si>
  <si>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</si>
  <si>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</si>
  <si>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</si>
  <si>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</si>
  <si>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</si>
  <si>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</si>
  <si>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</si>
  <si>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</si>
  <si>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</si>
  <si>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</si>
  <si>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</si>
  <si>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</si>
  <si>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</si>
  <si>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</si>
  <si>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</si>
  <si>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</si>
  <si>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</si>
  <si>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</si>
  <si>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</si>
  <si>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</si>
  <si>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</si>
  <si>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</si>
  <si>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</si>
  <si>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</si>
  <si>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</si>
  <si>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</si>
  <si>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</si>
  <si>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</si>
  <si>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</si>
  <si>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</si>
  <si>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</si>
  <si>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</si>
  <si>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</si>
  <si>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</si>
  <si>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</si>
  <si>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</si>
  <si>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</si>
  <si>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</si>
  <si>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</si>
  <si>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</si>
  <si>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</si>
  <si>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</si>
  <si>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</si>
  <si>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</si>
  <si>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</si>
  <si>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</si>
  <si>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</si>
  <si>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</si>
  <si>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</si>
  <si>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</si>
  <si>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</si>
  <si>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</si>
  <si>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</si>
  <si>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</si>
  <si>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</si>
  <si>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</si>
  <si>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</si>
  <si>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</si>
  <si>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</si>
  <si>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</si>
  <si>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</si>
  <si>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</si>
  <si>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</si>
  <si>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</si>
  <si>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</si>
  <si>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</si>
  <si>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</si>
  <si>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</si>
  <si>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</si>
  <si>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</si>
  <si>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</si>
  <si>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</si>
  <si>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</si>
  <si>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</si>
  <si>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</si>
  <si>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</si>
  <si>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</si>
  <si>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</si>
  <si>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</si>
  <si>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</si>
  <si>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</si>
  <si>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</si>
  <si>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</si>
  <si>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</si>
  <si>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</si>
  <si>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</si>
  <si>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</si>
  <si>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</si>
  <si>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</si>
  <si>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</si>
  <si>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</si>
  <si>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</si>
  <si>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</si>
  <si>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</si>
  <si>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</si>
  <si>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</si>
  <si>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</si>
  <si>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</si>
  <si>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</si>
  <si>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</si>
  <si>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</si>
  <si>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</si>
  <si>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</si>
  <si>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</si>
  <si>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</si>
  <si>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</si>
  <si>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</si>
  <si>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</si>
  <si>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</si>
  <si>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</si>
  <si>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</si>
  <si>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</si>
  <si>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</si>
  <si>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</si>
  <si>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</si>
  <si>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</si>
  <si>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</si>
  <si>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</si>
  <si>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</si>
  <si>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</si>
  <si>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</si>
  <si>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</si>
  <si>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</si>
  <si>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</si>
  <si>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</si>
  <si>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</si>
  <si>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</si>
  <si>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</si>
  <si>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</si>
  <si>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</si>
  <si>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</si>
  <si>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</si>
  <si>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</si>
  <si>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</si>
  <si>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</si>
  <si>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</si>
  <si>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</si>
  <si>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</si>
  <si>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</si>
  <si>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</si>
  <si>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</si>
  <si>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</si>
  <si>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</si>
  <si>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</si>
  <si>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</si>
  <si>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</si>
  <si>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</si>
  <si>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</si>
  <si>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</si>
  <si>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</si>
  <si>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</si>
  <si>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</si>
  <si>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</si>
  <si>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</si>
  <si>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</si>
  <si>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</si>
  <si>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</si>
  <si>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</si>
  <si>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</si>
  <si>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</si>
  <si>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</si>
  <si>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</si>
  <si>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</si>
  <si>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</si>
  <si>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</si>
  <si>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</si>
  <si>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</si>
  <si>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</si>
  <si>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</si>
  <si>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</si>
  <si>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</si>
  <si>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</si>
  <si>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</si>
  <si>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</si>
  <si>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</si>
  <si>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</si>
  <si>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</si>
  <si>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</si>
  <si>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</si>
  <si>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</si>
  <si>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</si>
  <si>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</si>
  <si>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</si>
  <si>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</si>
  <si>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</si>
  <si>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</si>
  <si>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</si>
  <si>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</si>
  <si>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</si>
  <si>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</si>
  <si>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</si>
  <si>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</si>
  <si>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</si>
  <si>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</si>
  <si>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</si>
  <si>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</si>
  <si>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</si>
  <si>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</si>
  <si>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</si>
  <si>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</si>
  <si>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</si>
  <si>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</si>
  <si>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</si>
  <si>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</si>
  <si>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</si>
  <si>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</si>
  <si>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</si>
  <si>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</si>
  <si>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</si>
  <si>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</si>
  <si>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</si>
  <si>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</si>
  <si>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</si>
  <si>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</si>
  <si>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</si>
  <si>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</si>
  <si>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</si>
  <si>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</si>
  <si>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</si>
  <si>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</si>
  <si>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</si>
  <si>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</si>
  <si>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</si>
  <si>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</si>
  <si>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</si>
  <si>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</si>
  <si>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</si>
  <si>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</si>
  <si>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</si>
  <si>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</si>
  <si>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</si>
  <si>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</si>
  <si>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</si>
  <si>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</si>
  <si>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</si>
  <si>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</si>
  <si>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</si>
  <si>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</si>
  <si>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</si>
  <si>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</si>
  <si>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</si>
  <si>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</si>
  <si>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</si>
  <si>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</si>
  <si>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</si>
  <si>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</si>
  <si>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</si>
  <si>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</si>
  <si>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</si>
  <si>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</si>
  <si>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</si>
  <si>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</si>
  <si>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</si>
  <si>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</si>
  <si>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</si>
  <si>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</si>
  <si>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</si>
  <si>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</si>
  <si>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</si>
  <si>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</si>
  <si>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</si>
  <si>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</si>
  <si>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</si>
  <si>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</si>
  <si>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</si>
  <si>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</si>
  <si>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</si>
  <si>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</si>
  <si>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</si>
  <si>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</si>
  <si>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</si>
  <si>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</si>
  <si>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</si>
  <si>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</si>
  <si>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</si>
  <si>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</si>
  <si>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</si>
  <si>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</si>
  <si>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</si>
  <si>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</si>
  <si>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</si>
  <si>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</si>
  <si>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</si>
  <si>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</si>
  <si>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</si>
  <si>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</si>
  <si>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</si>
  <si>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</si>
  <si>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</si>
  <si>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</si>
  <si>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</si>
  <si>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</si>
  <si>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</si>
  <si>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</si>
  <si>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</si>
  <si>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</si>
  <si>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</si>
  <si>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</si>
  <si>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</si>
  <si>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</si>
  <si>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</si>
  <si>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</si>
  <si>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</si>
  <si>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</si>
  <si>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</si>
  <si>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</si>
  <si>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</si>
  <si>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</si>
  <si>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</si>
  <si>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</si>
  <si>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</si>
  <si>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</si>
  <si>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</si>
  <si>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</si>
  <si>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</si>
  <si>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</si>
  <si>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</si>
  <si>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</si>
  <si>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</si>
  <si>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</si>
  <si>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</si>
  <si>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</si>
  <si>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</si>
  <si>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</si>
  <si>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</si>
  <si>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</si>
  <si>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</si>
  <si>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</si>
  <si>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</si>
  <si>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</si>
  <si>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</si>
  <si>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</si>
  <si>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</si>
  <si>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</si>
  <si>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</si>
  <si>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</si>
  <si>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</si>
  <si>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</si>
  <si>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</si>
  <si>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</si>
  <si>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</si>
  <si>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</si>
  <si>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</si>
  <si>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</si>
  <si>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</si>
  <si>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</si>
  <si>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</si>
  <si>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</si>
  <si>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</si>
  <si>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</si>
  <si>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</si>
  <si>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</si>
  <si>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</si>
  <si>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</si>
  <si>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</si>
  <si>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</si>
  <si>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</si>
  <si>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</si>
  <si>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</si>
  <si>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</si>
  <si>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</si>
  <si>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</si>
  <si>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</si>
  <si>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</si>
  <si>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</si>
  <si>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</si>
  <si>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</si>
  <si>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</si>
  <si>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</si>
  <si>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</si>
  <si>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</si>
  <si>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</si>
  <si>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</si>
  <si>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</si>
  <si>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</si>
  <si>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</si>
  <si>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</si>
  <si>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</si>
  <si>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</si>
  <si>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</si>
  <si>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</si>
  <si>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</si>
  <si>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</si>
  <si>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</si>
  <si>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</si>
  <si>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</si>
  <si>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</si>
  <si>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</si>
  <si>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</si>
  <si>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</si>
  <si>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</si>
  <si>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</si>
  <si>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</si>
  <si>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</si>
  <si>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</si>
  <si>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</si>
  <si>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</si>
  <si>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</si>
  <si>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</si>
  <si>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</si>
  <si>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</si>
  <si>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</si>
  <si>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</si>
  <si>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</si>
  <si>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</si>
  <si>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</si>
  <si>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</si>
  <si>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</si>
  <si>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</si>
  <si>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</si>
  <si>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</si>
  <si>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</si>
  <si>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</si>
  <si>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</si>
  <si>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</si>
  <si>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</si>
  <si>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</si>
  <si>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</si>
  <si>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</si>
  <si>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</si>
  <si>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</si>
  <si>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</si>
  <si>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</si>
  <si>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</si>
  <si>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</si>
  <si>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</si>
  <si>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</si>
  <si>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</si>
  <si>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</si>
  <si>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</si>
  <si>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</si>
  <si>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</si>
  <si>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</si>
  <si>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</si>
  <si>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</si>
  <si>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</si>
  <si>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</si>
  <si>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</si>
  <si>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</si>
  <si>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</si>
  <si>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</si>
  <si>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</si>
  <si>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</si>
  <si>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</si>
  <si>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</si>
  <si>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</si>
  <si>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</si>
  <si>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</si>
  <si>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</si>
  <si>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</si>
  <si>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</si>
  <si>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</si>
  <si>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</si>
  <si>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</si>
  <si>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</si>
  <si>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</si>
  <si>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</si>
  <si>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</si>
  <si>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</si>
  <si>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</si>
  <si>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</si>
  <si>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</si>
  <si>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</si>
  <si>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</si>
  <si>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</si>
  <si>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</si>
  <si>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</si>
  <si>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</si>
  <si>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</si>
  <si>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</si>
  <si>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</si>
  <si>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</si>
  <si>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</si>
  <si>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</si>
  <si>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</si>
  <si>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</si>
  <si>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</si>
  <si>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</si>
  <si>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</si>
  <si>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</si>
  <si>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</si>
  <si>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</si>
  <si>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</si>
  <si>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</si>
  <si>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</si>
  <si>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</si>
  <si>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</si>
  <si>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</si>
  <si>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</si>
  <si>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</si>
  <si>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</si>
  <si>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</si>
  <si>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</si>
  <si>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</si>
  <si>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</si>
  <si>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</si>
  <si>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</si>
  <si>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</si>
  <si>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</si>
  <si>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</si>
  <si>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</si>
  <si>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</si>
  <si>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</si>
  <si>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</si>
  <si>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</si>
  <si>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</si>
  <si>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</si>
  <si>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</si>
  <si>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</si>
  <si>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</si>
  <si>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</si>
  <si>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</si>
  <si>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</si>
  <si>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</si>
  <si>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</si>
  <si>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</si>
  <si>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</si>
  <si>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</si>
  <si>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</si>
  <si>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</si>
  <si>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</si>
  <si>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</si>
  <si>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</si>
  <si>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</si>
  <si>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</si>
  <si>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</si>
  <si>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</si>
  <si>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</si>
  <si>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</si>
  <si>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</si>
  <si>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</si>
  <si>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</si>
  <si>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</si>
  <si>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</si>
  <si>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</si>
  <si>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</si>
  <si>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</si>
  <si>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</si>
  <si>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</si>
  <si>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</si>
  <si>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</si>
  <si>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</si>
  <si>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</si>
  <si>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</si>
  <si>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</si>
  <si>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</si>
  <si>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</si>
  <si>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</si>
  <si>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</si>
  <si>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</si>
  <si>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</si>
  <si>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</si>
  <si>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</si>
  <si>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</si>
  <si>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</si>
  <si>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</si>
  <si>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</si>
  <si>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</si>
  <si>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</si>
  <si>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</si>
  <si>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</si>
  <si>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</si>
  <si>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</si>
  <si>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</si>
  <si>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</si>
  <si>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</si>
  <si>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</si>
  <si>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</si>
  <si>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</si>
  <si>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</si>
  <si>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</si>
  <si>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</si>
  <si>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</si>
  <si>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</si>
  <si>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</si>
  <si>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</si>
  <si>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</si>
  <si>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</si>
  <si>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</si>
  <si>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</si>
  <si>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</si>
  <si>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</si>
  <si>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</si>
  <si>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</si>
  <si>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</si>
  <si>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</si>
  <si>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</si>
  <si>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</si>
  <si>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</si>
  <si>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</si>
  <si>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</si>
  <si>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</si>
  <si>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</si>
  <si>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</si>
  <si>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</si>
  <si>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</si>
  <si>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</si>
  <si>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</si>
  <si>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</si>
  <si>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</si>
  <si>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</si>
  <si>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</si>
  <si>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</si>
  <si>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</si>
  <si>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</si>
  <si>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</si>
  <si>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</si>
  <si>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</si>
  <si>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</si>
  <si>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</si>
  <si>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</si>
  <si>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</si>
  <si>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</si>
  <si>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</si>
  <si>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</si>
  <si>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</si>
  <si>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</si>
  <si>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</si>
  <si>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</si>
  <si>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</si>
  <si>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</si>
  <si>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</si>
  <si>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</si>
  <si>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</si>
  <si>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</si>
  <si>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</si>
  <si>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</si>
  <si>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</si>
  <si>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</si>
  <si>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</si>
  <si>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</si>
  <si>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</si>
  <si>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</si>
  <si>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</si>
  <si>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</si>
  <si>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</si>
  <si>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</si>
  <si>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</si>
  <si>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</si>
  <si>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</si>
  <si>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</si>
  <si>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</si>
  <si>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</si>
  <si>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</si>
  <si>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</si>
  <si>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</si>
  <si>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</si>
  <si>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</si>
  <si>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</si>
  <si>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</si>
  <si>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</si>
  <si>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</si>
  <si>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</si>
  <si>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</si>
  <si>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</si>
  <si>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</si>
  <si>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</si>
  <si>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</si>
  <si>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</si>
  <si>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</si>
  <si>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</si>
  <si>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</si>
  <si>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</si>
  <si>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</si>
  <si>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</si>
  <si>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</si>
  <si>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</si>
  <si>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</si>
  <si>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</si>
  <si>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</si>
  <si>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</si>
  <si>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</si>
  <si>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</si>
  <si>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</si>
  <si>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</si>
  <si>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</si>
  <si>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</si>
  <si>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</si>
  <si>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</si>
  <si>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</si>
  <si>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</si>
  <si>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</si>
  <si>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</si>
  <si>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</si>
  <si>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</si>
  <si>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</si>
  <si>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</si>
  <si>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</si>
  <si>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</si>
  <si>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</si>
  <si>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</si>
  <si>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</si>
  <si>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</si>
  <si>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</si>
  <si>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</si>
  <si>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</si>
  <si>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</si>
  <si>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</si>
  <si>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</si>
  <si>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</si>
  <si>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</si>
  <si>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</si>
  <si>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</si>
  <si>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</si>
  <si>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</si>
  <si>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</si>
  <si>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</si>
  <si>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</si>
  <si>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</si>
  <si>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</si>
  <si>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</si>
  <si>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</si>
  <si>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</si>
  <si>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</si>
  <si>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</si>
  <si>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</si>
  <si>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</si>
  <si>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</si>
  <si>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</si>
  <si>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</si>
  <si>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</si>
  <si>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</si>
  <si>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</si>
  <si>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</si>
  <si>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</si>
  <si>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</si>
  <si>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</si>
  <si>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</si>
  <si>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</si>
  <si>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</si>
  <si>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</si>
  <si>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</si>
  <si>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</si>
  <si>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</si>
  <si>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</si>
  <si>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</si>
  <si>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</si>
  <si>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</si>
  <si>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</si>
  <si>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</si>
  <si>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</si>
  <si>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</si>
  <si>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</si>
  <si>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</si>
  <si>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</si>
  <si>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</si>
  <si>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</si>
  <si>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</si>
  <si>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</si>
  <si>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</si>
  <si>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</si>
  <si>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</si>
  <si>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</si>
  <si>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</si>
  <si>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</si>
  <si>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</si>
  <si>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</si>
  <si>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</si>
  <si>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</si>
  <si>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</si>
  <si>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</si>
  <si>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</si>
  <si>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</si>
  <si>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</si>
  <si>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</si>
  <si>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</si>
  <si>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</si>
  <si>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</si>
  <si>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</si>
  <si>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</si>
  <si>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</si>
  <si>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</si>
  <si>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</si>
  <si>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</si>
  <si>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</si>
  <si>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</si>
  <si>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</si>
  <si>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</si>
  <si>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</si>
  <si>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</si>
  <si>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</si>
  <si>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</si>
  <si>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</si>
  <si>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</si>
  <si>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</si>
  <si>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</si>
  <si>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</si>
  <si>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</si>
  <si>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</si>
  <si>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</si>
  <si>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</si>
  <si>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</si>
  <si>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</si>
  <si>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</si>
  <si>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</si>
  <si>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</si>
  <si>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</si>
  <si>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</si>
  <si>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</si>
  <si>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</si>
  <si>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</si>
  <si>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</si>
  <si>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</si>
  <si>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</si>
  <si>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</si>
  <si>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</si>
  <si>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</si>
  <si>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</si>
  <si>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</si>
  <si>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</si>
  <si>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</si>
  <si>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</si>
  <si>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</si>
  <si>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</si>
  <si>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</si>
  <si>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</si>
  <si>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</si>
  <si>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</si>
  <si>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</si>
  <si>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</si>
  <si>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</si>
  <si>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</si>
  <si>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</si>
  <si>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</si>
  <si>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</si>
  <si>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</si>
  <si>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</si>
  <si>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</si>
  <si>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</si>
  <si>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</si>
  <si>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</si>
  <si>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</si>
  <si>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</si>
  <si>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</si>
  <si>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</si>
  <si>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</si>
  <si>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</si>
  <si>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</si>
  <si>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</si>
  <si>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</si>
  <si>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</si>
  <si>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</si>
  <si>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</si>
  <si>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</si>
  <si>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</si>
  <si>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</si>
  <si>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</si>
  <si>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</si>
  <si>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</si>
  <si>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</si>
  <si>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</si>
  <si>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</si>
  <si>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</si>
  <si>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</si>
  <si>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</si>
  <si>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</si>
  <si>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</si>
  <si>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</si>
  <si>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</si>
  <si>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</si>
  <si>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</si>
  <si>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</si>
  <si>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</si>
  <si>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</si>
  <si>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</si>
  <si>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</si>
  <si>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</si>
  <si>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</si>
  <si>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</si>
  <si>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</si>
  <si>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</si>
  <si>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</si>
  <si>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</si>
  <si>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</si>
  <si>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</si>
  <si>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</si>
  <si>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</si>
  <si>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</si>
  <si>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</si>
  <si>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</si>
  <si>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</si>
  <si>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</si>
  <si>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</si>
  <si>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</si>
  <si>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</si>
  <si>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</si>
  <si>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</si>
  <si>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</si>
  <si>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</si>
  <si>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</si>
  <si>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</si>
  <si>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</si>
  <si>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</si>
  <si>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</si>
  <si>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</si>
  <si>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</si>
  <si>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</si>
  <si>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</si>
  <si>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</si>
  <si>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</si>
  <si>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</si>
  <si>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</si>
  <si>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</si>
  <si>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</si>
  <si>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</si>
  <si>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</si>
  <si>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</si>
  <si>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</si>
  <si>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</si>
  <si>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</si>
  <si>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</si>
  <si>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</si>
  <si>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</si>
  <si>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</si>
  <si>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</si>
  <si>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</si>
  <si>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</si>
  <si>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</si>
  <si>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</si>
  <si>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</si>
  <si>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</si>
  <si>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</si>
  <si>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</si>
  <si>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</si>
  <si>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</si>
  <si>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</si>
  <si>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</si>
  <si>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</si>
  <si>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</si>
  <si>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</si>
  <si>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</si>
  <si>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</si>
  <si>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</si>
  <si>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</si>
  <si>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</si>
  <si>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</si>
  <si>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</si>
  <si>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</si>
  <si>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</si>
  <si>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</si>
  <si>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</si>
  <si>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</si>
  <si>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</si>
  <si>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</si>
  <si>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</si>
  <si>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</si>
  <si>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</si>
  <si>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</si>
  <si>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</si>
  <si>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</si>
  <si>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</si>
  <si>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</si>
  <si>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</si>
  <si>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</si>
  <si>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</si>
  <si>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</si>
  <si>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</si>
  <si>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</si>
  <si>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</si>
  <si>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</si>
  <si>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</si>
  <si>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</si>
  <si>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</si>
  <si>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</si>
  <si>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</si>
  <si>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</si>
  <si>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</si>
  <si>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</si>
  <si>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</si>
  <si>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</si>
  <si>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</si>
  <si>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</si>
  <si>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</si>
  <si>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</si>
  <si>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</si>
  <si>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</si>
  <si>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</si>
  <si>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</si>
  <si>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</si>
  <si>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</si>
  <si>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</si>
  <si>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</si>
  <si>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</si>
  <si>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</si>
  <si>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</si>
  <si>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</si>
  <si>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</si>
  <si>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</si>
  <si>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</si>
  <si>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</si>
  <si>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</si>
  <si>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</si>
  <si>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</si>
  <si>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</si>
  <si>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</si>
  <si>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</si>
  <si>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</si>
  <si>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</si>
  <si>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</si>
  <si>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</si>
  <si>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</si>
  <si>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</si>
  <si>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</si>
  <si>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</si>
  <si>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</si>
  <si>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</si>
  <si>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</si>
  <si>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</si>
  <si>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</si>
  <si>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</si>
  <si>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</si>
  <si>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</si>
  <si>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</si>
  <si>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</si>
  <si>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</si>
  <si>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</si>
  <si>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</si>
  <si>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</si>
  <si>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</si>
  <si>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</si>
  <si>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</si>
  <si>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</si>
  <si>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</si>
  <si>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</si>
  <si>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</si>
  <si>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</si>
  <si>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</si>
  <si>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</si>
  <si>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</si>
  <si>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</si>
  <si>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</si>
  <si>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</si>
  <si>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</si>
  <si>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</si>
  <si>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</si>
  <si>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</si>
  <si>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</si>
  <si>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</si>
  <si>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</si>
  <si>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</si>
  <si>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</si>
  <si>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</si>
  <si>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</si>
  <si>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</si>
  <si>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</si>
  <si>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</si>
  <si>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</si>
  <si>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</si>
  <si>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</si>
  <si>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</si>
  <si>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</si>
  <si>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</si>
  <si>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</si>
  <si>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</si>
  <si>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</si>
  <si>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</si>
  <si>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</si>
  <si>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</si>
  <si>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</si>
  <si>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</si>
  <si>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</si>
  <si>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</si>
  <si>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</si>
  <si>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</si>
  <si>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</si>
  <si>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</si>
  <si>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</si>
  <si>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</si>
  <si>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</si>
  <si>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</si>
  <si>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</si>
  <si>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</si>
  <si>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</si>
  <si>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</si>
  <si>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</si>
  <si>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</si>
  <si>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</si>
  <si>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</si>
  <si>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</si>
  <si>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</si>
  <si>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</si>
  <si>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</si>
  <si>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</si>
  <si>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</si>
  <si>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</si>
  <si>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</si>
  <si>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</si>
  <si>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</si>
  <si>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</si>
  <si>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</si>
  <si>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</si>
  <si>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</si>
  <si>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</si>
  <si>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</si>
  <si>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</si>
  <si>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</si>
  <si>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</si>
  <si>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</si>
  <si>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</si>
  <si>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</si>
  <si>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</si>
  <si>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</si>
  <si>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</si>
  <si>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</si>
  <si>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</si>
  <si>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</si>
  <si>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</si>
  <si>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</si>
  <si>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</si>
  <si>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</si>
  <si>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</si>
  <si>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</si>
  <si>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</si>
  <si>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</si>
  <si>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</si>
  <si>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</si>
  <si>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</si>
  <si>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</si>
  <si>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</si>
  <si>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</si>
  <si>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</si>
  <si>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</si>
  <si>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</si>
  <si>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</si>
  <si>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</si>
  <si>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</si>
  <si>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</si>
  <si>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</si>
  <si>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</si>
  <si>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</si>
  <si>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</si>
  <si>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</si>
  <si>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</si>
  <si>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</si>
  <si>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</si>
  <si>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</si>
  <si>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</si>
  <si>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</si>
  <si>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</si>
  <si>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</si>
  <si>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</si>
  <si>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</si>
  <si>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</si>
  <si>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</si>
  <si>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</si>
  <si>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</si>
  <si>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</si>
  <si>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</si>
  <si>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</si>
  <si>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</si>
  <si>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</si>
  <si>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</si>
  <si>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</si>
  <si>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</si>
  <si>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</si>
  <si>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</si>
  <si>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</si>
  <si>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</si>
  <si>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</si>
  <si>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</si>
  <si>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</si>
  <si>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</si>
  <si>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</si>
  <si>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</si>
  <si>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</si>
  <si>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</si>
  <si>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</si>
  <si>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</si>
  <si>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</si>
  <si>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</si>
  <si>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</si>
  <si>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</si>
  <si>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</si>
  <si>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</si>
  <si>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</si>
  <si>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</si>
  <si>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</si>
  <si>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</si>
  <si>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</si>
  <si>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</si>
  <si>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</si>
  <si>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</si>
  <si>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</si>
  <si>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</si>
  <si>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</si>
  <si>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</si>
  <si>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</si>
  <si>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</si>
  <si>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</si>
  <si>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</si>
  <si>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</si>
  <si>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</si>
  <si>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</si>
  <si>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</si>
  <si>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</si>
  <si>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</si>
  <si>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</si>
  <si>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</si>
  <si>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</si>
  <si>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</si>
  <si>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</si>
  <si>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</si>
  <si>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</si>
  <si>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</si>
  <si>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</si>
  <si>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</si>
  <si>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</si>
  <si>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</si>
  <si>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</si>
  <si>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</si>
  <si>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</si>
  <si>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</si>
  <si>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</si>
  <si>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</si>
  <si>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</si>
  <si>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</si>
  <si>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</si>
  <si>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</si>
  <si>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</si>
  <si>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</si>
  <si>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</si>
  <si>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</si>
  <si>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</si>
  <si>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</si>
  <si>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</si>
  <si>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</si>
  <si>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</si>
  <si>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</si>
  <si>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</si>
  <si>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</si>
  <si>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</si>
  <si>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</si>
  <si>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</si>
  <si>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</si>
  <si>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</si>
  <si>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</si>
  <si>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</si>
  <si>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</si>
  <si>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</si>
  <si>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</si>
  <si>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</si>
  <si>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</si>
  <si>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</si>
  <si>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</si>
  <si>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</si>
  <si>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</si>
  <si>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</si>
  <si>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</si>
  <si>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</si>
  <si>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</si>
  <si>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</si>
  <si>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</si>
  <si>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</si>
  <si>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</si>
  <si>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</si>
  <si>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</si>
  <si>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</si>
  <si>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</si>
  <si>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</si>
  <si>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</si>
  <si>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</si>
  <si>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</si>
  <si>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</si>
  <si>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</si>
  <si>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</si>
  <si>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</si>
  <si>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</si>
  <si>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</si>
  <si>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</si>
  <si>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</si>
  <si>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</si>
  <si>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</si>
  <si>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</si>
  <si>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</si>
  <si>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</si>
  <si>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</si>
  <si>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</si>
  <si>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</si>
  <si>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</si>
  <si>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</si>
  <si>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</si>
  <si>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</si>
  <si>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</si>
  <si>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</si>
  <si>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</si>
  <si>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</si>
  <si>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</si>
  <si>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</si>
  <si>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</si>
  <si>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</si>
  <si>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</si>
  <si>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</si>
  <si>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</si>
  <si>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</si>
  <si>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</si>
  <si>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</si>
  <si>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</si>
  <si>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</si>
  <si>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</si>
  <si>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</si>
  <si>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</si>
  <si>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</si>
  <si>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</si>
  <si>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</si>
  <si>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</si>
  <si>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</si>
  <si>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</si>
  <si>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</si>
  <si>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</si>
  <si>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</si>
  <si>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</si>
  <si>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</si>
  <si>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</si>
  <si>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</si>
  <si>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</si>
  <si>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</si>
  <si>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</si>
  <si>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</si>
  <si>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</si>
  <si>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</si>
  <si>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</si>
  <si>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</si>
  <si>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</si>
  <si>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</si>
  <si>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</si>
  <si>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</si>
  <si>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</si>
  <si>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</si>
  <si>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</si>
  <si>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</si>
  <si>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</si>
  <si>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</si>
  <si>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</si>
  <si>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</si>
  <si>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</si>
  <si>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</si>
  <si>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</si>
  <si>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</si>
  <si>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</si>
  <si>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</si>
  <si>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</si>
  <si>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</si>
  <si>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</si>
  <si>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</si>
  <si>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</si>
  <si>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</si>
  <si>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</si>
  <si>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</si>
  <si>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</si>
  <si>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</si>
  <si>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</si>
  <si>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</si>
  <si>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</si>
  <si>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</si>
  <si>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</si>
  <si>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</si>
  <si>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</si>
  <si>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</si>
  <si>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</si>
  <si>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</si>
  <si>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</si>
  <si>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</si>
  <si>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</si>
  <si>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</si>
  <si>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</si>
  <si>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</si>
  <si>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</si>
  <si>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</si>
  <si>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</si>
  <si>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</si>
  <si>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</si>
  <si>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</si>
  <si>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</si>
  <si>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</si>
  <si>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</si>
  <si>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</si>
  <si>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</si>
  <si>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</si>
  <si>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</si>
  <si>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</si>
  <si>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</si>
  <si>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</si>
  <si>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</si>
  <si>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</si>
  <si>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</si>
  <si>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</si>
  <si>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</si>
  <si>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</si>
  <si>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</si>
  <si>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</si>
  <si>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</si>
  <si>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</si>
  <si>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</si>
  <si>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</si>
  <si>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</si>
  <si>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</si>
  <si>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</si>
  <si>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</si>
  <si>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</si>
  <si>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</si>
  <si>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</si>
  <si>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</si>
  <si>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</si>
  <si>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</si>
  <si>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</si>
  <si>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</si>
  <si>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</si>
  <si>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</si>
  <si>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</si>
  <si>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</si>
  <si>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</si>
  <si>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</si>
  <si>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</si>
  <si>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</si>
  <si>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</si>
  <si>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</si>
  <si>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</si>
  <si>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</si>
  <si>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</si>
  <si>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</si>
  <si>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</si>
  <si>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</si>
  <si>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</si>
  <si>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</si>
  <si>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</si>
  <si>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</si>
  <si>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</si>
  <si>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</si>
  <si>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</si>
  <si>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</si>
  <si>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</si>
  <si>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</si>
  <si>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</si>
  <si>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</si>
  <si>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</si>
  <si>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</si>
  <si>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</si>
  <si>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</si>
  <si>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</si>
  <si>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</si>
  <si>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</si>
  <si>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</si>
  <si>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</si>
  <si>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</si>
  <si>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</si>
  <si>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</si>
  <si>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</si>
  <si>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</si>
  <si>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</si>
  <si>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</si>
  <si>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</si>
  <si>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</si>
  <si>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</si>
  <si>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</si>
  <si>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</si>
  <si>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</si>
  <si>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</si>
  <si>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</si>
  <si>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</si>
  <si>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</si>
  <si>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</si>
  <si>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</si>
  <si>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</si>
  <si>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</si>
  <si>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</si>
  <si>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</si>
  <si>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</si>
  <si>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</si>
  <si>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</si>
  <si>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</si>
  <si>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</si>
  <si>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</si>
  <si>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</si>
  <si>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</si>
  <si>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</si>
  <si>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</si>
  <si>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</si>
  <si>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</si>
  <si>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</si>
  <si>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</si>
  <si>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</si>
  <si>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</si>
  <si>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</si>
  <si>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</si>
  <si>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</si>
  <si>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</si>
  <si>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</si>
  <si>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</si>
  <si>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</si>
  <si>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</si>
  <si>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</si>
  <si>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</si>
  <si>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</si>
  <si>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</si>
  <si>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</si>
  <si>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</si>
  <si>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</si>
  <si>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</si>
  <si>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</si>
  <si>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</si>
  <si>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</si>
  <si>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</si>
  <si>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</si>
  <si>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</si>
  <si>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</si>
  <si>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</si>
  <si>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</si>
  <si>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</si>
  <si>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</si>
  <si>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</si>
  <si>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</si>
  <si>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</si>
  <si>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</si>
  <si>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</si>
  <si>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</si>
  <si>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</si>
  <si>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</si>
  <si>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</si>
  <si>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</si>
  <si>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</si>
  <si>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</si>
  <si>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</si>
  <si>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</si>
  <si>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</si>
  <si>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</si>
  <si>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</si>
  <si>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</si>
  <si>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</si>
  <si>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</si>
  <si>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</si>
  <si>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</si>
  <si>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</si>
  <si>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</si>
  <si>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</si>
  <si>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</si>
  <si>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</si>
  <si>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</si>
  <si>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</si>
  <si>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</si>
  <si>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</si>
  <si>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</si>
  <si>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</si>
  <si>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</si>
  <si>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</si>
  <si>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</si>
  <si>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</si>
  <si>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</si>
  <si>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</si>
  <si>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</si>
  <si>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</si>
  <si>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</si>
  <si>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</si>
  <si>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</si>
  <si>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</si>
  <si>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</si>
  <si>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</si>
  <si>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</si>
  <si>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</si>
  <si>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</si>
  <si>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</si>
  <si>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</si>
  <si>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</si>
  <si>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</si>
  <si>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</si>
  <si>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</si>
  <si>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</si>
  <si>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</si>
  <si>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</si>
  <si>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</si>
  <si>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</si>
  <si>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</si>
  <si>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</si>
  <si>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</si>
  <si>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</si>
  <si>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</si>
  <si>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</si>
  <si>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</si>
  <si>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</si>
  <si>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</si>
  <si>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</si>
  <si>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</si>
  <si>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</si>
  <si>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</si>
  <si>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</si>
  <si>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</si>
  <si>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</si>
  <si>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</si>
  <si>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</si>
  <si>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</si>
  <si>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</si>
  <si>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</si>
  <si>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</si>
  <si>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</si>
  <si>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</si>
  <si>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</si>
  <si>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</si>
  <si>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</si>
  <si>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</si>
  <si>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</si>
  <si>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</si>
  <si>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</si>
  <si>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</si>
  <si>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</si>
  <si>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</si>
  <si>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</si>
  <si>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</si>
  <si>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</si>
  <si>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</si>
  <si>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</si>
  <si>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</si>
  <si>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</si>
  <si>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</si>
  <si>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</si>
  <si>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</si>
  <si>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</si>
  <si>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</si>
  <si>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</si>
  <si>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</si>
  <si>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</si>
  <si>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</si>
  <si>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</si>
  <si>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</si>
  <si>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</si>
  <si>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</si>
  <si>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</si>
  <si>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</si>
  <si>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</si>
  <si>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</si>
  <si>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</si>
  <si>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</si>
  <si>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</si>
  <si>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</si>
  <si>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</si>
  <si>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</si>
  <si>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</si>
  <si>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</si>
  <si>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</si>
  <si>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</si>
  <si>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</si>
  <si>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</si>
  <si>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</si>
  <si>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</si>
  <si>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</si>
  <si>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</si>
  <si>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</si>
  <si>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</si>
  <si>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</si>
  <si>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</si>
  <si>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</si>
  <si>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</si>
  <si>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</si>
  <si>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</si>
  <si>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</si>
  <si>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</si>
  <si>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</si>
  <si>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</si>
  <si>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</si>
  <si>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</si>
  <si>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</si>
  <si>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</si>
  <si>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</si>
  <si>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</si>
  <si>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</si>
  <si>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</si>
  <si>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</si>
  <si>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</si>
  <si>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</si>
  <si>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</si>
  <si>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</si>
  <si>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</si>
  <si>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</si>
  <si>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</si>
  <si>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</si>
  <si>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</si>
  <si>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</si>
  <si>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</si>
  <si>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</si>
  <si>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</si>
  <si>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</si>
  <si>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</si>
  <si>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</si>
  <si>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</si>
  <si>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</si>
  <si>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</si>
  <si>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</si>
  <si>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</si>
  <si>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</si>
  <si>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</si>
  <si>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</si>
  <si>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</si>
  <si>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</si>
  <si>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</si>
  <si>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</si>
  <si>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</si>
  <si>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</si>
  <si>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</si>
  <si>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</si>
  <si>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</si>
  <si>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</si>
  <si>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</si>
  <si>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</si>
  <si>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</si>
  <si>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</si>
  <si>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</si>
  <si>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</si>
  <si>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</si>
  <si>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</si>
  <si>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</si>
  <si>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</si>
  <si>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</si>
  <si>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</si>
  <si>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</si>
  <si>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</si>
  <si>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</si>
  <si>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</si>
  <si>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</si>
  <si>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</si>
  <si>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</si>
  <si>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</si>
  <si>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</si>
  <si>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</si>
  <si>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</si>
  <si>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</si>
  <si>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</si>
  <si>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</si>
  <si>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</si>
  <si>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</si>
  <si>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</si>
  <si>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</si>
  <si>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</si>
  <si>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</si>
  <si>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</si>
  <si>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</si>
  <si>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</si>
  <si>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</si>
  <si>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</si>
  <si>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</si>
  <si>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</si>
  <si>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</si>
  <si>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</si>
  <si>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</si>
  <si>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</si>
  <si>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</si>
  <si>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</si>
  <si>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</si>
  <si>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</si>
  <si>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</si>
  <si>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</si>
  <si>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</si>
  <si>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</si>
  <si>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</si>
  <si>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</si>
  <si>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</si>
  <si>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</si>
  <si>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</si>
  <si>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</si>
  <si>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</si>
  <si>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</si>
  <si>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</si>
  <si>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</si>
  <si>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</si>
  <si>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</si>
  <si>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</si>
  <si>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</si>
  <si>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</si>
  <si>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</si>
  <si>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</si>
  <si>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</si>
  <si>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</si>
  <si>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</si>
  <si>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</si>
  <si>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</si>
  <si>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</si>
  <si>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</si>
  <si>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</si>
  <si>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</si>
  <si>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</si>
  <si>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</si>
  <si>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</si>
  <si>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</si>
  <si>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</si>
  <si>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</si>
  <si>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</si>
  <si>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</si>
  <si>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</si>
  <si>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</si>
  <si>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</si>
  <si>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</si>
  <si>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</si>
  <si>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</si>
  <si>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</si>
  <si>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</si>
  <si>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</si>
  <si>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</si>
  <si>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</si>
  <si>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</si>
  <si>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</si>
  <si>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</si>
  <si>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</si>
  <si>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</si>
  <si>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</si>
  <si>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</si>
  <si>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</si>
  <si>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</si>
  <si>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</si>
  <si>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</si>
  <si>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</si>
  <si>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</si>
  <si>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</si>
  <si>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</si>
  <si>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</si>
  <si>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</si>
  <si>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</si>
  <si>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</si>
  <si>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</si>
  <si>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</si>
  <si>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</si>
  <si>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</si>
  <si>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</si>
  <si>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</si>
  <si>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</si>
  <si>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</si>
  <si>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</si>
  <si>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</si>
  <si>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</si>
  <si>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</si>
  <si>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</si>
  <si>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</si>
  <si>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</si>
  <si>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</si>
  <si>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</si>
  <si>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</si>
  <si>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</si>
  <si>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</si>
  <si>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</si>
  <si>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</si>
  <si>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</si>
  <si>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</si>
  <si>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</si>
  <si>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</si>
  <si>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</si>
  <si>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</si>
  <si>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</si>
  <si>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</si>
  <si>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</si>
  <si>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</si>
  <si>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</si>
  <si>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</si>
  <si>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</si>
  <si>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</si>
  <si>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</si>
  <si>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</si>
  <si>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</si>
  <si>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</si>
  <si>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</si>
  <si>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</si>
  <si>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</si>
  <si>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</si>
  <si>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</si>
  <si>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</si>
  <si>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</si>
  <si>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</si>
  <si>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</si>
  <si>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</si>
  <si>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</si>
  <si>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</si>
  <si>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</si>
  <si>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</si>
  <si>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</si>
  <si>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</si>
  <si>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</si>
  <si>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</si>
  <si>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</si>
  <si>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</si>
  <si>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</si>
  <si>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</si>
  <si>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</si>
  <si>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</si>
  <si>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</si>
  <si>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</si>
  <si>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</si>
  <si>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</si>
  <si>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</si>
  <si>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</si>
  <si>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</si>
  <si>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</si>
  <si>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</si>
  <si>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</si>
  <si>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</si>
  <si>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</si>
  <si>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</si>
  <si>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</si>
  <si>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</si>
  <si>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</si>
  <si>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</si>
  <si>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</si>
  <si>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</si>
  <si>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</si>
  <si>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</si>
  <si>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</si>
  <si>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</si>
  <si>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</si>
  <si>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</si>
  <si>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</si>
  <si>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</si>
  <si>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</si>
  <si>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</si>
  <si>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</si>
  <si>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</si>
  <si>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</si>
  <si>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</si>
  <si>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</si>
  <si>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</si>
  <si>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</si>
  <si>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</si>
  <si>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</si>
  <si>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</si>
  <si>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</si>
  <si>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</si>
  <si>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</si>
  <si>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</si>
  <si>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</si>
  <si>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</si>
  <si>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</si>
  <si>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</si>
  <si>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</si>
  <si>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</si>
  <si>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</si>
  <si>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</si>
  <si>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</si>
  <si>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</si>
  <si>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</si>
  <si>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</si>
  <si>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</si>
  <si>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</si>
  <si>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</si>
  <si>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</si>
  <si>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</si>
  <si>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</si>
  <si>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</si>
  <si>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</si>
  <si>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</si>
  <si>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</si>
  <si>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</si>
  <si>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</si>
  <si>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</si>
  <si>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</si>
  <si>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</si>
  <si>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</si>
  <si>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</si>
  <si>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</si>
  <si>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</si>
  <si>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</si>
  <si>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</si>
  <si>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</si>
  <si>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</si>
  <si>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</si>
  <si>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</si>
  <si>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</si>
  <si>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</si>
  <si>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</si>
  <si>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</si>
  <si>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</si>
  <si>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</si>
  <si>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</si>
  <si>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</si>
  <si>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</si>
  <si>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</si>
  <si>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</si>
  <si>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</si>
  <si>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</si>
  <si>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</si>
  <si>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</si>
  <si>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</si>
  <si>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</si>
  <si>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</si>
  <si>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</si>
  <si>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</si>
  <si>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</si>
  <si>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</si>
  <si>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</si>
  <si>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</si>
  <si>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</si>
  <si>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</si>
  <si>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</si>
  <si>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</si>
  <si>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</si>
  <si>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</si>
  <si>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</si>
  <si>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</si>
  <si>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</si>
  <si>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</si>
  <si>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</si>
  <si>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</si>
  <si>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</si>
  <si>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</si>
  <si>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</si>
  <si>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</si>
  <si>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</si>
  <si>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</si>
  <si>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</si>
  <si>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</si>
  <si>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</si>
  <si>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</si>
  <si>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</si>
  <si>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</si>
  <si>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</si>
  <si>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</si>
  <si>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</si>
  <si>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</si>
  <si>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</si>
  <si>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</si>
  <si>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</si>
  <si>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</si>
  <si>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</si>
  <si>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</si>
  <si>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</si>
  <si>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</si>
  <si>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</si>
  <si>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</si>
  <si>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</si>
  <si>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</si>
  <si>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</si>
  <si>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</si>
  <si>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</si>
  <si>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</si>
  <si>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</si>
  <si>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</si>
  <si>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</si>
  <si>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</si>
  <si>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</si>
  <si>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</si>
  <si>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</si>
  <si>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</si>
  <si>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</si>
  <si>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</si>
  <si>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</si>
  <si>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</si>
  <si>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</si>
  <si>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</si>
  <si>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</si>
  <si>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</si>
  <si>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</si>
  <si>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</si>
  <si>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</si>
  <si>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</si>
  <si>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</si>
  <si>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</si>
  <si>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</si>
  <si>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</si>
  <si>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</si>
  <si>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</si>
  <si>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</si>
  <si>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</si>
  <si>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</si>
  <si>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</si>
  <si>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</si>
  <si>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</si>
  <si>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</si>
  <si>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</si>
  <si>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</si>
  <si>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</si>
  <si>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</si>
  <si>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</si>
  <si>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</si>
  <si>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</si>
  <si>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</si>
  <si>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</si>
  <si>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</si>
  <si>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</si>
  <si>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</si>
  <si>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</si>
  <si>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</si>
  <si>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Limited Tax Capital Appreciation School Bond, Series 2003</t>
  </si>
  <si>
    <t>G.O. Limited School Bonds, Series 2007</t>
  </si>
  <si>
    <t>Limited Refunding School Bonds, Series 2010B</t>
  </si>
  <si>
    <t>G.O. Refunding Limited School Bonds, Series 2014</t>
  </si>
  <si>
    <t>G.O. Refunding Limited School Bonds, Series 2018A</t>
  </si>
  <si>
    <t>G.O. Refunding Limited School Bonds, Series 2018B</t>
  </si>
  <si>
    <t>x</t>
  </si>
  <si>
    <t>X</t>
  </si>
  <si>
    <t>08-089-1450-22</t>
  </si>
  <si>
    <t>STEPHENSON</t>
  </si>
  <si>
    <t>FREEPORT SCHOOL DISTRICT NO. 145</t>
  </si>
  <si>
    <t>501 E. SOUTH STREET</t>
  </si>
  <si>
    <t>FREEPORT</t>
  </si>
  <si>
    <t>MIKE SCHIFFMAN</t>
  </si>
  <si>
    <t>mike.schiffman@fsd145.org</t>
  </si>
  <si>
    <t>815-232-0300</t>
  </si>
  <si>
    <t>815-235-4177</t>
  </si>
  <si>
    <t>WIPFLI LLP</t>
  </si>
  <si>
    <t>MATTHEW J. SCHUELER</t>
  </si>
  <si>
    <t>IL</t>
  </si>
  <si>
    <t>066-004023</t>
  </si>
  <si>
    <t>815-626-1277</t>
  </si>
  <si>
    <t>815-626-9118</t>
  </si>
  <si>
    <t>Wipfli LLP</t>
  </si>
  <si>
    <t>Career Tec</t>
  </si>
  <si>
    <t>mschueler@wipfli.com</t>
  </si>
  <si>
    <t>U.S. DEPARTMENT OF AGRICULTURE:</t>
  </si>
  <si>
    <t xml:space="preserve">  Through Illinois State Board of Education:</t>
  </si>
  <si>
    <t>16-4210-00</t>
  </si>
  <si>
    <t>17-4210-00</t>
  </si>
  <si>
    <t>16-4220-00</t>
  </si>
  <si>
    <t>17-4220-00</t>
  </si>
  <si>
    <t>16-4225-00</t>
  </si>
  <si>
    <t>17-4225-00</t>
  </si>
  <si>
    <t>18-4210-00</t>
  </si>
  <si>
    <t>18-4220-00</t>
  </si>
  <si>
    <t>18-4225-00</t>
  </si>
  <si>
    <t>N/A</t>
  </si>
  <si>
    <t>None</t>
  </si>
  <si>
    <t>Working Cash Fund line 8990 includes $429,038 in bond issuance costs and $6,906,934 in payments to escrow for refunding of bonds.</t>
  </si>
  <si>
    <t>education fund other current assets line 12; $6,224 depost claim reserve</t>
  </si>
  <si>
    <t>education fund, function 1999; line 107- other revenue- $327 miscellaneous revenue</t>
  </si>
  <si>
    <t>eduction fund, function 3999; line 171- special education orphanage &amp; other misc state grants</t>
  </si>
  <si>
    <t>education fund, function 4999; line 272- department of rehab grant</t>
  </si>
  <si>
    <t>education fund, function 2190, line 41- classroom and playgound monitors</t>
  </si>
  <si>
    <t>education fund, function 2490, line 56- deans and instructional leadership</t>
  </si>
  <si>
    <t>education fund, function 2900, line 73- parent mentors</t>
  </si>
  <si>
    <t>transportation fund, function 2900, line 183- custodians</t>
  </si>
  <si>
    <t>none</t>
  </si>
  <si>
    <t>U.S. DEPARTMENT OF DEFENSE:</t>
  </si>
  <si>
    <t xml:space="preserve">  Naval Junior Reserve Officer Training Corp.</t>
  </si>
  <si>
    <t xml:space="preserve">      TOTAL U.S. DEPARTMENT OF DEFENSE</t>
  </si>
  <si>
    <t xml:space="preserve"> U.S. DEPARTMENT OF EDUCATION:</t>
  </si>
  <si>
    <t xml:space="preserve">      Total Low Income Cluster</t>
  </si>
  <si>
    <t xml:space="preserve">    Race to the Top</t>
  </si>
  <si>
    <t xml:space="preserve">    Title II - Teacher Quality</t>
  </si>
  <si>
    <t>N4418A17 MDJROTC</t>
  </si>
  <si>
    <t>84.010A</t>
  </si>
  <si>
    <t>16-4300-00</t>
  </si>
  <si>
    <t>17-4300-00</t>
  </si>
  <si>
    <t>84.413A</t>
  </si>
  <si>
    <t>16-4901-00</t>
  </si>
  <si>
    <t>84.367A</t>
  </si>
  <si>
    <t>16-4932-00</t>
  </si>
  <si>
    <t>17-4932-00</t>
  </si>
  <si>
    <t xml:space="preserve">    Title III - Lang. Inst. Prog. - Limited Eng. Prog. (LIPLEP)</t>
  </si>
  <si>
    <t>84.365A</t>
  </si>
  <si>
    <t>16-4909-00</t>
  </si>
  <si>
    <t>17-4909-00</t>
  </si>
  <si>
    <t>84.173A</t>
  </si>
  <si>
    <t>16-4600-00</t>
  </si>
  <si>
    <t>17-4600-00</t>
  </si>
  <si>
    <t>84.027A</t>
  </si>
  <si>
    <t>16-4620-00</t>
  </si>
  <si>
    <t>17-4620-00</t>
  </si>
  <si>
    <t>84.048A</t>
  </si>
  <si>
    <t xml:space="preserve">    Department of Rehab</t>
  </si>
  <si>
    <t>17-4950-00</t>
  </si>
  <si>
    <t>17-4991-00</t>
  </si>
  <si>
    <t>TOTAL FEDERAL AWARDS</t>
  </si>
  <si>
    <t>N4418A18 MDJROTC</t>
  </si>
  <si>
    <t xml:space="preserve">    Title I - Low Income</t>
  </si>
  <si>
    <t xml:space="preserve">    Title I - Low Income </t>
  </si>
  <si>
    <t>18-4300-00</t>
  </si>
  <si>
    <t xml:space="preserve">         Total Title II- Teacher Quality</t>
  </si>
  <si>
    <t>18-4932-00</t>
  </si>
  <si>
    <t>18-4991-00</t>
  </si>
  <si>
    <t>18-4950-00</t>
  </si>
  <si>
    <t>18-4745-00</t>
  </si>
  <si>
    <t>18-4600-00</t>
  </si>
  <si>
    <t>18-4620-00</t>
  </si>
  <si>
    <t>TOTAL US DEPT OF HEALTH &amp; HUMAN SERVICES</t>
  </si>
  <si>
    <t xml:space="preserve">      Medical Assistance Program</t>
  </si>
  <si>
    <t xml:space="preserve">     Medical Assistance Program</t>
  </si>
  <si>
    <t xml:space="preserve">   Through Northwestern Illinois Association</t>
  </si>
  <si>
    <t xml:space="preserve">   Through Hawthorn &amp; Assoiates:</t>
  </si>
  <si>
    <t xml:space="preserve">  Through Illinois Dept of Healthcare &amp; Family Services</t>
  </si>
  <si>
    <t>US DEPARTMENT OF HEALTH &amp; HUMAN SERVICES</t>
  </si>
  <si>
    <t>TOTAL US DEPARTMENT OF EDUCATION</t>
  </si>
  <si>
    <t xml:space="preserve">      Department of Rehab</t>
  </si>
  <si>
    <t>Through Illinois Department of Human Services:</t>
  </si>
  <si>
    <t xml:space="preserve">    CTE Perkins Title IIC- Secondary</t>
  </si>
  <si>
    <t>Though Career &amp; Technical Educ Consortium 08-089-7230-45</t>
  </si>
  <si>
    <t xml:space="preserve">      Total Special Education Cluster</t>
  </si>
  <si>
    <t xml:space="preserve">    Fed. Sp. Ed. - IDEA Flow Through</t>
  </si>
  <si>
    <t xml:space="preserve">    Fed. Sp. Ed. - Pre-School Flow-Through</t>
  </si>
  <si>
    <t>Total Department of Rehab</t>
  </si>
  <si>
    <t xml:space="preserve">    Fed. Sp. Ed. - Room &amp; Board Flow-Through</t>
  </si>
  <si>
    <t>18-4625-00</t>
  </si>
  <si>
    <t xml:space="preserve">    Fed Sp. Ed. - Room &amp; Board Flow-Through</t>
  </si>
  <si>
    <t>17-4625-00</t>
  </si>
  <si>
    <t>18-4909-00</t>
  </si>
  <si>
    <t>rounding</t>
  </si>
  <si>
    <t>Medicaid outreach revenue reported on sefa to reconcile to HFS confirmation</t>
  </si>
  <si>
    <t>unmodified</t>
  </si>
  <si>
    <r>
      <t xml:space="preserve">The accompanying Schedule of Expenditures of Federal Awards includes the federal grant activity of Freeport School District and is presented on the modified accural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</si>
  <si>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 xml:space="preserve">    Dept. of Defense Fruits &amp; Vegetables Program (M)</t>
  </si>
  <si>
    <t xml:space="preserve">    Non-Cash Food Commodities Program (M)</t>
  </si>
  <si>
    <t xml:space="preserve">    National School Lunch Program (M)</t>
  </si>
  <si>
    <t xml:space="preserve">    School Breakfast Program (M)</t>
  </si>
  <si>
    <t xml:space="preserve">    Summer Food Service (M)</t>
  </si>
  <si>
    <t xml:space="preserve">      Total Child Nutrition Cluster</t>
  </si>
  <si>
    <t xml:space="preserve">     Total Department of Agriculture</t>
  </si>
  <si>
    <t>10.553; 10.555</t>
  </si>
  <si>
    <t>Child Nutrition Cluster</t>
  </si>
  <si>
    <t>Management is responsible for establishing and maintaining internal controls and for the fair presentation of the financial statements including the related disclosures, in conformity with generally accepted accounting principles.</t>
  </si>
  <si>
    <t>The District does not have an internal control policy in place over annual financial reporting that would enable management to prepare its annual financial statements and ensure related footnote disclosures are complete and presented in accordance with generally accepted accounting principles.</t>
  </si>
  <si>
    <t xml:space="preserve">Management has informed us that they do not have an internal control policy in place over the annual financial including footnote disclosures. </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</si>
  <si>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</si>
  <si>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</si>
  <si>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 xml:space="preserve">Management should continue to review and approve the annual financial statements and the related footnote disclosures. </t>
  </si>
  <si>
    <t>The District will continue to review the financial statements and required footnotes prepared by the external auditors.  The District believes this process to be the most economical and appropriate to help ensure complete and proper financial reporting.</t>
  </si>
  <si>
    <t>The District lacks proper segregation of duties in the payroll area.</t>
  </si>
  <si>
    <t>District has limited number of personnel to permit adequate segregation of duties.</t>
  </si>
  <si>
    <t>Inadequate segregation of duties.</t>
  </si>
  <si>
    <t>Limited number of staff.</t>
  </si>
  <si>
    <t>The District should consider whether it would be possible to have another individual submit the payroll for payment.</t>
  </si>
  <si>
    <t>Agree with the auditor recommendation.  The District will consider the possibility of segregating the payroll function.</t>
  </si>
  <si>
    <t>The District had excess of expenditures over budget in the Education and Bond &amp; interest Funds</t>
  </si>
  <si>
    <t>The funds overspent the District's legally adopted budget</t>
  </si>
  <si>
    <t>The District is not in compliance with 105 ILCS 5 School Code</t>
  </si>
  <si>
    <t>The District had an excess of expenditures over budget</t>
  </si>
  <si>
    <t>The District should consider amending its budget in the future when excesses are expected</t>
  </si>
  <si>
    <t>Agree with the auditor recommendation.  The District will consider amending the budget in the future.</t>
  </si>
  <si>
    <t>2016-001</t>
  </si>
  <si>
    <t>Lack of understanding of US</t>
  </si>
  <si>
    <t>Still exists - See finding 2017-001</t>
  </si>
  <si>
    <t>GAAP for footnote preparation</t>
  </si>
  <si>
    <t>2016-002</t>
  </si>
  <si>
    <t xml:space="preserve">District has limited number of </t>
  </si>
  <si>
    <t>Still exists - See finding 2017-002</t>
  </si>
  <si>
    <t>personnel to permit adequate</t>
  </si>
  <si>
    <t>segregation of duties</t>
  </si>
  <si>
    <t>2016-003</t>
  </si>
  <si>
    <t>District over expended its budget</t>
  </si>
  <si>
    <t>in certain funds</t>
  </si>
  <si>
    <t>2017-001</t>
  </si>
  <si>
    <t>Still exists - See finding 2018-001</t>
  </si>
  <si>
    <t>2017-002</t>
  </si>
  <si>
    <t>Still exists - See finding 2018-002</t>
  </si>
  <si>
    <r>
      <t xml:space="preserve">The following amounts were expended in the form of non-cash assistance by the Freeport School District and </t>
    </r>
    <r>
      <rPr>
        <b/>
        <sz val="9"/>
        <rFont val="Calibri"/>
        <family val="2"/>
        <scheme val="minor"/>
      </rPr>
      <t>should be</t>
    </r>
    <r>
      <rPr>
        <sz val="9"/>
        <rFont val="Calibri"/>
        <family val="2"/>
        <scheme val="minor"/>
      </rPr>
      <t xml:space="preserve"> included in the Schedule of Expenditures of Federal Awards:</t>
    </r>
  </si>
  <si>
    <t>Corrected in 2017,  recurred in 2018 see finding 2018-003</t>
  </si>
  <si>
    <t>4949 Harrison Avenue</t>
  </si>
  <si>
    <t>Rockford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</si>
</sst>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cellStyleXfs>
  <cellXfs count="253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1" fontId="54" fillId="0" borderId="78" xfId="3" applyNumberFormat="1" applyFont="1" applyBorder="1" applyAlignment="1" applyProtection="1">
      <protection locked="0"/>
    </xf>
    <xf numFmtId="0" fontId="53"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3" fontId="10" fillId="0" borderId="22" xfId="3" applyNumberFormat="1" applyFont="1" applyBorder="1" applyAlignment="1" applyProtection="1">
      <alignment horizontal="left" vertical="center" wrapText="1"/>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166" xfId="3" applyNumberFormat="1" applyFont="1" applyBorder="1" applyAlignment="1" applyProtection="1">
      <alignment horizontal="center"/>
      <protection locked="0"/>
    </xf>
    <xf numFmtId="169" fontId="10" fillId="0" borderId="166" xfId="3" applyNumberFormat="1" applyFont="1" applyBorder="1" applyAlignment="1" applyProtection="1">
      <alignment horizontal="center"/>
      <protection locked="0"/>
    </xf>
    <xf numFmtId="3" fontId="10" fillId="0" borderId="166"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3" fontId="10" fillId="0" borderId="167"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10" fillId="0" borderId="167"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3" fontId="10" fillId="0" borderId="8"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0" fontId="9" fillId="0" borderId="0" xfId="3" applyProtection="1">
      <protection locked="0"/>
    </xf>
    <xf numFmtId="0" fontId="9" fillId="0" borderId="0" xfId="3" applyBorder="1" applyProtection="1">
      <protection locked="0"/>
    </xf>
    <xf numFmtId="179" fontId="9" fillId="0" borderId="0" xfId="3" applyNumberFormat="1" applyBorder="1" applyProtection="1">
      <protection locked="0"/>
    </xf>
    <xf numFmtId="179" fontId="9" fillId="0" borderId="0" xfId="3" applyNumberFormat="1" applyFont="1" applyBorder="1" applyAlignment="1" applyProtection="1">
      <alignment horizontal="left"/>
      <protection locked="0"/>
    </xf>
    <xf numFmtId="0" fontId="9" fillId="0" borderId="0" xfId="3" applyProtection="1">
      <protection locked="0"/>
    </xf>
    <xf numFmtId="0" fontId="9" fillId="0" borderId="0" xfId="3" applyBorder="1" applyProtection="1">
      <protection locked="0"/>
    </xf>
    <xf numFmtId="179" fontId="9" fillId="0" borderId="0" xfId="3" applyNumberFormat="1" applyBorder="1" applyProtection="1">
      <protection locked="0"/>
    </xf>
    <xf numFmtId="179" fontId="9" fillId="0" borderId="0" xfId="3" applyNumberFormat="1" applyFont="1" applyBorder="1" applyAlignment="1" applyProtection="1">
      <alignment horizontal="left"/>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47625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E066E54E-0D8E-4B67-92CA-5005716D7C5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1</xdr:col>
      <xdr:colOff>1570586</xdr:colOff>
      <xdr:row>3</xdr:row>
      <xdr:rowOff>100792</xdr:rowOff>
    </xdr:from>
    <xdr:ext cx="184731" cy="264560"/>
    <xdr:sp macro="" textlink="">
      <xdr:nvSpPr>
        <xdr:cNvPr id="2" name="TextBox 1">
          <a:extLst>
            <a:ext uri="{FF2B5EF4-FFF2-40B4-BE49-F238E27FC236}">
              <a16:creationId xmlns:a16="http://schemas.microsoft.com/office/drawing/2014/main" id="{61C19C34-9529-4592-A5BC-33BD4FA3BA95}"/>
            </a:ext>
          </a:extLst>
        </xdr:cNvPr>
        <xdr:cNvSpPr txBox="1"/>
      </xdr:nvSpPr>
      <xdr:spPr>
        <a:xfrm>
          <a:off x="1695277" y="5787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47625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A27DEF82-2942-461A-895E-BBFCA42057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47625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E5D513C2-D169-4C63-BDA4-70F4EDA4FA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1EDEFCF-EDC8-4CF3-9020-2BD358D6D9A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9486022-AFE3-4736-84C7-7878FF80141C}"/>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C5241DDE-1C27-4876-A4B0-FDB0E7588FE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C1ADA1E-9314-415D-A25F-F957F4FE161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AB48"/>
  <sheetViews>
    <sheetView showGridLines="0" tabSelected="1" zoomScale="110" zoomScaleNormal="110" workbookViewId="0">
      <selection activeCell="S15" sqref="S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6" t="s">
        <v>425</v>
      </c>
      <c r="J1" s="2027"/>
      <c r="K1" s="2027"/>
      <c r="L1" s="2027"/>
      <c r="M1" s="2027"/>
      <c r="N1" s="2027"/>
      <c r="O1" s="2027"/>
      <c r="P1" s="2027"/>
      <c r="Q1" s="2027"/>
      <c r="R1" s="2027"/>
      <c r="S1" s="2027"/>
    </row>
    <row r="2" spans="1:28" ht="12" customHeight="1" x14ac:dyDescent="0.2">
      <c r="A2" s="47" t="s">
        <v>1684</v>
      </c>
      <c r="D2" s="48"/>
      <c r="I2" s="2028" t="s">
        <v>1036</v>
      </c>
      <c r="J2" s="2027"/>
      <c r="K2" s="2027"/>
      <c r="L2" s="2027"/>
      <c r="M2" s="2027"/>
      <c r="N2" s="2027"/>
      <c r="O2" s="2027"/>
      <c r="P2" s="2027"/>
      <c r="Q2" s="2027"/>
      <c r="R2" s="2027"/>
      <c r="S2" s="2027"/>
    </row>
    <row r="3" spans="1:28" ht="12" customHeight="1" x14ac:dyDescent="0.2">
      <c r="A3" s="155" t="s">
        <v>1685</v>
      </c>
      <c r="B3" s="156"/>
      <c r="C3" s="156"/>
      <c r="D3" s="157"/>
      <c r="I3" s="2028" t="s">
        <v>54</v>
      </c>
      <c r="J3" s="2027"/>
      <c r="K3" s="2027"/>
      <c r="L3" s="2027"/>
      <c r="M3" s="2027"/>
      <c r="N3" s="2027"/>
      <c r="O3" s="2027"/>
      <c r="P3" s="2027"/>
      <c r="Q3" s="2027"/>
      <c r="R3" s="2027"/>
      <c r="S3" s="2027"/>
    </row>
    <row r="4" spans="1:28" ht="12" customHeight="1" x14ac:dyDescent="0.2">
      <c r="A4" s="37"/>
      <c r="I4" s="2028" t="s">
        <v>545</v>
      </c>
      <c r="J4" s="2027"/>
      <c r="K4" s="2027"/>
      <c r="L4" s="2027"/>
      <c r="M4" s="2027"/>
      <c r="N4" s="2027"/>
      <c r="O4" s="2027"/>
      <c r="P4" s="2027"/>
      <c r="Q4" s="2027"/>
      <c r="R4" s="2027"/>
      <c r="S4" s="2027"/>
    </row>
    <row r="5" spans="1:28" ht="14.1" customHeight="1" x14ac:dyDescent="0.2">
      <c r="B5" s="104" t="s">
        <v>2082</v>
      </c>
      <c r="C5" s="26" t="s">
        <v>966</v>
      </c>
      <c r="D5" s="84"/>
      <c r="E5" s="84"/>
      <c r="H5" s="38"/>
      <c r="I5" s="2036" t="s">
        <v>701</v>
      </c>
      <c r="J5" s="2035"/>
      <c r="K5" s="2035"/>
      <c r="L5" s="2035"/>
      <c r="M5" s="2035"/>
      <c r="N5" s="2035"/>
      <c r="O5" s="2035"/>
      <c r="P5" s="2035"/>
      <c r="Q5" s="2035"/>
      <c r="R5" s="2035"/>
      <c r="S5" s="2035"/>
    </row>
    <row r="6" spans="1:28" ht="14.1" customHeight="1" x14ac:dyDescent="0.2">
      <c r="B6" s="104"/>
      <c r="C6" s="26" t="s">
        <v>967</v>
      </c>
      <c r="D6" s="84"/>
      <c r="E6" s="84"/>
      <c r="I6" s="2034" t="s">
        <v>938</v>
      </c>
      <c r="J6" s="2035"/>
      <c r="K6" s="2035"/>
      <c r="L6" s="2035"/>
      <c r="M6" s="2035"/>
      <c r="N6" s="2035"/>
      <c r="O6" s="2035"/>
      <c r="P6" s="2035"/>
      <c r="Q6" s="2035"/>
      <c r="R6" s="2035"/>
      <c r="S6" s="2035"/>
    </row>
    <row r="7" spans="1:28" ht="12.2" customHeight="1" x14ac:dyDescent="0.2">
      <c r="I7" s="2029">
        <v>43281</v>
      </c>
      <c r="J7" s="2030"/>
      <c r="K7" s="2030"/>
      <c r="L7" s="2030"/>
      <c r="M7" s="2030"/>
      <c r="N7" s="2030"/>
      <c r="O7" s="2030"/>
      <c r="P7" s="2030"/>
      <c r="Q7" s="2030"/>
      <c r="R7" s="2030"/>
      <c r="S7" s="203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1" t="s">
        <v>695</v>
      </c>
      <c r="J9" s="2032"/>
      <c r="K9" s="2032"/>
      <c r="L9" s="2032"/>
      <c r="M9" s="2032"/>
      <c r="N9" s="2032"/>
      <c r="O9" s="2032"/>
      <c r="P9" s="2032"/>
      <c r="Q9" s="2032"/>
      <c r="R9" s="2032"/>
      <c r="S9" s="2033"/>
      <c r="T9" s="2047" t="s">
        <v>554</v>
      </c>
      <c r="U9" s="2048"/>
      <c r="V9" s="2048"/>
      <c r="W9" s="2048"/>
      <c r="X9" s="2048"/>
      <c r="Y9" s="2048"/>
      <c r="Z9" s="2048"/>
      <c r="AA9" s="2049"/>
    </row>
    <row r="10" spans="1:28" ht="13.5" customHeight="1" x14ac:dyDescent="0.2">
      <c r="A10" s="2054" t="s">
        <v>696</v>
      </c>
      <c r="B10" s="2055"/>
      <c r="C10" s="2055"/>
      <c r="D10" s="2055"/>
      <c r="E10" s="2055"/>
      <c r="F10" s="2055"/>
      <c r="G10" s="2055"/>
      <c r="H10" s="2056"/>
      <c r="I10" s="29"/>
      <c r="J10" s="30"/>
      <c r="K10" s="28"/>
      <c r="R10" s="30"/>
      <c r="S10" s="30"/>
      <c r="T10" s="2050"/>
      <c r="U10" s="2035"/>
      <c r="V10" s="2035"/>
      <c r="W10" s="2035"/>
      <c r="X10" s="2035"/>
      <c r="Y10" s="2035"/>
      <c r="Z10" s="2035"/>
      <c r="AA10" s="2041"/>
    </row>
    <row r="11" spans="1:28" ht="14.25" customHeight="1" x14ac:dyDescent="0.2">
      <c r="A11" s="2057" t="s">
        <v>1012</v>
      </c>
      <c r="B11" s="2058"/>
      <c r="C11" s="2058"/>
      <c r="D11" s="2058"/>
      <c r="E11" s="2058"/>
      <c r="F11" s="2058"/>
      <c r="G11" s="2058"/>
      <c r="H11" s="2059"/>
      <c r="I11" s="27"/>
      <c r="J11" s="74"/>
      <c r="K11" s="27"/>
      <c r="O11" s="148"/>
      <c r="P11" s="100" t="s">
        <v>210</v>
      </c>
      <c r="Q11" s="30"/>
      <c r="R11" s="28"/>
      <c r="S11" s="27"/>
      <c r="T11" s="2051"/>
      <c r="U11" s="2052"/>
      <c r="V11" s="2052"/>
      <c r="W11" s="2052"/>
      <c r="X11" s="2052"/>
      <c r="Y11" s="2052"/>
      <c r="Z11" s="2052"/>
      <c r="AA11" s="2053"/>
    </row>
    <row r="12" spans="1:28" ht="13.5" customHeight="1" x14ac:dyDescent="0.2">
      <c r="A12" s="85" t="s">
        <v>982</v>
      </c>
      <c r="B12" s="76"/>
      <c r="C12" s="76"/>
      <c r="D12" s="76"/>
      <c r="E12" s="76"/>
      <c r="F12" s="76"/>
      <c r="G12" s="76"/>
      <c r="H12" s="53"/>
      <c r="I12" s="29"/>
      <c r="J12" s="30"/>
      <c r="K12" s="28"/>
      <c r="O12" s="149" t="s">
        <v>2082</v>
      </c>
      <c r="P12" s="100" t="s">
        <v>211</v>
      </c>
      <c r="Q12" s="74"/>
      <c r="R12" s="30"/>
      <c r="S12" s="30"/>
      <c r="T12" s="85" t="s">
        <v>283</v>
      </c>
      <c r="U12" s="51"/>
      <c r="V12" s="51"/>
      <c r="W12" s="51"/>
      <c r="X12" s="51"/>
      <c r="Y12" s="45"/>
      <c r="Z12" s="45"/>
      <c r="AA12" s="46"/>
    </row>
    <row r="13" spans="1:28" ht="13.5" customHeight="1" x14ac:dyDescent="0.2">
      <c r="A13" s="2061" t="s">
        <v>2083</v>
      </c>
      <c r="B13" s="2062"/>
      <c r="C13" s="2062"/>
      <c r="D13" s="2062"/>
      <c r="E13" s="2062"/>
      <c r="F13" s="2062"/>
      <c r="G13" s="2062"/>
      <c r="H13" s="2063"/>
      <c r="I13" s="31"/>
      <c r="J13" s="30"/>
      <c r="K13" s="28"/>
      <c r="L13" s="30"/>
      <c r="M13" s="30"/>
      <c r="N13" s="30"/>
      <c r="O13" s="30"/>
      <c r="P13" s="30"/>
      <c r="Q13" s="30"/>
      <c r="R13" s="30"/>
      <c r="S13" s="30"/>
      <c r="T13" s="2066" t="s">
        <v>2092</v>
      </c>
      <c r="U13" s="2067"/>
      <c r="V13" s="2067"/>
      <c r="W13" s="2067"/>
      <c r="X13" s="2067"/>
      <c r="Y13" s="2068"/>
      <c r="Z13" s="2068"/>
      <c r="AA13" s="206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60" t="s">
        <v>2084</v>
      </c>
      <c r="B15" s="2064"/>
      <c r="C15" s="2064"/>
      <c r="D15" s="2064"/>
      <c r="E15" s="2064"/>
      <c r="F15" s="2064"/>
      <c r="G15" s="2064"/>
      <c r="H15" s="2065"/>
      <c r="T15" s="2070" t="s">
        <v>2093</v>
      </c>
      <c r="U15" s="2014"/>
      <c r="V15" s="2014"/>
      <c r="W15" s="2014"/>
      <c r="X15" s="2014"/>
      <c r="Y15" s="2071"/>
      <c r="Z15" s="2071"/>
      <c r="AA15" s="207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20" t="s">
        <v>2085</v>
      </c>
      <c r="B17" s="2021"/>
      <c r="C17" s="2021"/>
      <c r="D17" s="2021"/>
      <c r="E17" s="2021"/>
      <c r="F17" s="2021"/>
      <c r="G17" s="2021"/>
      <c r="H17" s="2046"/>
      <c r="T17" s="2077" t="s">
        <v>2237</v>
      </c>
      <c r="U17" s="2078"/>
      <c r="V17" s="2078"/>
      <c r="W17" s="2078"/>
      <c r="X17" s="2078"/>
      <c r="Y17" s="2078"/>
      <c r="Z17" s="2078"/>
      <c r="AA17" s="2079"/>
    </row>
    <row r="18" spans="1:27" ht="13.5" customHeight="1" x14ac:dyDescent="0.2">
      <c r="A18" s="85" t="s">
        <v>551</v>
      </c>
      <c r="B18" s="76"/>
      <c r="C18" s="72"/>
      <c r="D18" s="76"/>
      <c r="E18" s="76"/>
      <c r="F18" s="76"/>
      <c r="G18" s="76"/>
      <c r="H18" s="56"/>
      <c r="I18" s="2045" t="s">
        <v>697</v>
      </c>
      <c r="J18" s="1996"/>
      <c r="K18" s="1996"/>
      <c r="L18" s="1996"/>
      <c r="M18" s="1996"/>
      <c r="N18" s="1996"/>
      <c r="O18" s="1996"/>
      <c r="P18" s="1996"/>
      <c r="Q18" s="1996"/>
      <c r="R18" s="1996"/>
      <c r="S18" s="1997"/>
      <c r="T18" s="85" t="s">
        <v>735</v>
      </c>
      <c r="U18" s="51"/>
      <c r="V18" s="72"/>
      <c r="W18" s="50"/>
      <c r="X18" s="85" t="s">
        <v>284</v>
      </c>
      <c r="Y18" s="81"/>
      <c r="Z18" s="159" t="s">
        <v>698</v>
      </c>
      <c r="AA18" s="46"/>
    </row>
    <row r="19" spans="1:27" ht="13.5" customHeight="1" x14ac:dyDescent="0.2">
      <c r="A19" s="2060" t="s">
        <v>2086</v>
      </c>
      <c r="B19" s="2006"/>
      <c r="C19" s="2006"/>
      <c r="D19" s="2006"/>
      <c r="E19" s="2006"/>
      <c r="F19" s="2006"/>
      <c r="G19" s="2006"/>
      <c r="H19" s="1986"/>
      <c r="I19" s="30"/>
      <c r="J19" s="99"/>
      <c r="K19" s="40"/>
      <c r="L19" s="38"/>
      <c r="M19" s="112" t="s">
        <v>333</v>
      </c>
      <c r="P19" s="27"/>
      <c r="Q19" s="27"/>
      <c r="R19" s="27"/>
      <c r="S19" s="31"/>
      <c r="T19" s="2060" t="s">
        <v>2238</v>
      </c>
      <c r="U19" s="1985"/>
      <c r="V19" s="1985"/>
      <c r="W19" s="1986"/>
      <c r="X19" s="2075" t="s">
        <v>2094</v>
      </c>
      <c r="Y19" s="2076"/>
      <c r="Z19" s="2073">
        <v>61125</v>
      </c>
      <c r="AA19" s="207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4" t="s">
        <v>2087</v>
      </c>
      <c r="B21" s="1985"/>
      <c r="C21" s="1985"/>
      <c r="D21" s="1985"/>
      <c r="E21" s="1985"/>
      <c r="F21" s="1985"/>
      <c r="G21" s="1985"/>
      <c r="H21" s="1986"/>
      <c r="I21" s="2040" t="s">
        <v>699</v>
      </c>
      <c r="J21" s="2035"/>
      <c r="K21" s="2035"/>
      <c r="L21" s="2035"/>
      <c r="M21" s="2035"/>
      <c r="N21" s="2035"/>
      <c r="O21" s="2035"/>
      <c r="P21" s="2035"/>
      <c r="Q21" s="2035"/>
      <c r="R21" s="2035"/>
      <c r="S21" s="2041"/>
      <c r="T21" s="2084" t="s">
        <v>2096</v>
      </c>
      <c r="U21" s="2085"/>
      <c r="V21" s="2085"/>
      <c r="W21" s="2085"/>
      <c r="X21" s="2090" t="s">
        <v>2097</v>
      </c>
      <c r="Y21" s="2091"/>
      <c r="Z21" s="2091"/>
      <c r="AA21" s="2092"/>
    </row>
    <row r="22" spans="1:27" ht="13.5" customHeight="1" x14ac:dyDescent="0.2">
      <c r="A22" s="87" t="s">
        <v>552</v>
      </c>
      <c r="B22" s="59"/>
      <c r="C22" s="59"/>
      <c r="D22" s="59"/>
      <c r="E22" s="59"/>
      <c r="F22" s="59"/>
      <c r="G22" s="59"/>
      <c r="H22" s="60"/>
      <c r="I22" s="2042" t="s">
        <v>1504</v>
      </c>
      <c r="J22" s="2043"/>
      <c r="K22" s="2043"/>
      <c r="L22" s="2043"/>
      <c r="M22" s="2043"/>
      <c r="N22" s="2043"/>
      <c r="O22" s="2043"/>
      <c r="P22" s="2043"/>
      <c r="Q22" s="2043"/>
      <c r="R22" s="2043"/>
      <c r="S22" s="2044"/>
      <c r="T22" s="85" t="s">
        <v>1596</v>
      </c>
      <c r="U22" s="51"/>
      <c r="V22" s="72"/>
      <c r="W22" s="51"/>
      <c r="X22" s="160" t="s">
        <v>1385</v>
      </c>
      <c r="Z22" s="45"/>
      <c r="AA22" s="46"/>
    </row>
    <row r="23" spans="1:27" ht="13.5" customHeight="1" x14ac:dyDescent="0.2">
      <c r="A23" s="2037"/>
      <c r="B23" s="2038"/>
      <c r="C23" s="2038"/>
      <c r="D23" s="2038"/>
      <c r="E23" s="2038"/>
      <c r="F23" s="2038"/>
      <c r="G23" s="2038"/>
      <c r="H23" s="2039"/>
      <c r="T23" s="2020" t="s">
        <v>2095</v>
      </c>
      <c r="U23" s="2083"/>
      <c r="V23" s="2083"/>
      <c r="W23" s="2083"/>
      <c r="X23" s="2087">
        <v>43434</v>
      </c>
      <c r="Y23" s="2088"/>
      <c r="Z23" s="2088"/>
      <c r="AA23" s="2089"/>
    </row>
    <row r="24" spans="1:27" ht="14.1" customHeight="1" x14ac:dyDescent="0.2">
      <c r="A24" s="88" t="s">
        <v>698</v>
      </c>
      <c r="B24" s="49"/>
      <c r="C24" s="49"/>
      <c r="D24" s="49"/>
      <c r="E24" s="49"/>
      <c r="F24" s="49"/>
      <c r="G24" s="49"/>
      <c r="H24" s="61"/>
      <c r="J24" s="2007">
        <f>IF(B5="x",IF(AUDITCHECK!D29="AFR form Incomplete.","",IF(AUDITCHECK!D29="Deficit reduction plan is required.","School District must complete a deficit reduction plan in the 2018-2019 Budget",)),"")</f>
        <v>0</v>
      </c>
      <c r="K24" s="2007"/>
      <c r="L24" s="2007"/>
      <c r="M24" s="2007"/>
      <c r="N24" s="2007"/>
      <c r="O24" s="2007"/>
      <c r="P24" s="2007"/>
      <c r="Q24" s="2007"/>
      <c r="R24" s="2007"/>
      <c r="S24" s="2008"/>
      <c r="T24" s="105" t="s">
        <v>552</v>
      </c>
      <c r="U24" s="106"/>
      <c r="V24" s="106"/>
      <c r="W24" s="106"/>
      <c r="X24" s="107"/>
      <c r="Y24" s="107"/>
      <c r="Z24" s="107"/>
      <c r="AA24" s="108"/>
    </row>
    <row r="25" spans="1:27" ht="14.1" customHeight="1" x14ac:dyDescent="0.2">
      <c r="A25" s="1984">
        <v>61032</v>
      </c>
      <c r="B25" s="1985"/>
      <c r="C25" s="1985"/>
      <c r="D25" s="1985"/>
      <c r="E25" s="1985"/>
      <c r="F25" s="1985"/>
      <c r="G25" s="1985"/>
      <c r="H25" s="1986"/>
      <c r="I25" s="113"/>
      <c r="J25" s="2009"/>
      <c r="K25" s="2009"/>
      <c r="L25" s="2009"/>
      <c r="M25" s="2009"/>
      <c r="N25" s="2009"/>
      <c r="O25" s="2009"/>
      <c r="P25" s="2009"/>
      <c r="Q25" s="2009"/>
      <c r="R25" s="2009"/>
      <c r="S25" s="2010"/>
      <c r="T25" s="2080" t="s">
        <v>2100</v>
      </c>
      <c r="U25" s="2081"/>
      <c r="V25" s="2081"/>
      <c r="W25" s="2081"/>
      <c r="X25" s="2081"/>
      <c r="Y25" s="2081"/>
      <c r="Z25" s="2081"/>
      <c r="AA25" s="20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95" t="s">
        <v>1591</v>
      </c>
      <c r="J27" s="1996"/>
      <c r="K27" s="1996"/>
      <c r="L27" s="1996"/>
      <c r="M27" s="1996"/>
      <c r="N27" s="1996"/>
      <c r="O27" s="1996"/>
      <c r="P27" s="1996"/>
      <c r="Q27" s="1996"/>
      <c r="R27" s="1996"/>
      <c r="S27" s="199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2082</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20" t="s">
        <v>2088</v>
      </c>
      <c r="B38" s="2021"/>
      <c r="C38" s="2021"/>
      <c r="D38" s="2021"/>
      <c r="E38" s="2021"/>
      <c r="F38" s="1985"/>
      <c r="G38" s="1985"/>
      <c r="H38" s="1986"/>
      <c r="I38" s="2013"/>
      <c r="J38" s="2014"/>
      <c r="K38" s="2014"/>
      <c r="L38" s="2014"/>
      <c r="M38" s="2014"/>
      <c r="N38" s="2014"/>
      <c r="O38" s="2014"/>
      <c r="P38" s="2015"/>
      <c r="Q38" s="2015"/>
      <c r="R38" s="2015"/>
      <c r="S38" s="2016"/>
      <c r="T38" s="2070"/>
      <c r="U38" s="2014"/>
      <c r="V38" s="2014"/>
      <c r="W38" s="2014"/>
      <c r="X38" s="2015"/>
      <c r="Y38" s="2015"/>
      <c r="Z38" s="2015"/>
      <c r="AA38" s="2016"/>
    </row>
    <row r="39" spans="1:27" ht="12" customHeight="1" x14ac:dyDescent="0.2">
      <c r="A39" s="1990" t="s">
        <v>552</v>
      </c>
      <c r="B39" s="1991"/>
      <c r="C39" s="72"/>
      <c r="D39" s="69"/>
      <c r="E39" s="69"/>
      <c r="F39" s="79"/>
      <c r="G39" s="69"/>
      <c r="H39" s="56"/>
      <c r="I39" s="1990" t="s">
        <v>552</v>
      </c>
      <c r="J39" s="1991"/>
      <c r="K39" s="1991"/>
      <c r="L39" s="1991"/>
      <c r="M39" s="1991"/>
      <c r="N39" s="67"/>
      <c r="O39" s="72"/>
      <c r="P39" s="72"/>
      <c r="Q39" s="78"/>
      <c r="R39" s="72"/>
      <c r="S39" s="56"/>
      <c r="T39" s="72" t="s">
        <v>552</v>
      </c>
      <c r="U39" s="51"/>
      <c r="V39" s="72"/>
      <c r="W39" s="50"/>
      <c r="X39" s="78"/>
      <c r="Y39" s="45"/>
      <c r="Z39" s="45"/>
      <c r="AA39" s="46"/>
    </row>
    <row r="40" spans="1:27" ht="13.5" customHeight="1" x14ac:dyDescent="0.2">
      <c r="A40" s="1998" t="s">
        <v>2089</v>
      </c>
      <c r="B40" s="1999"/>
      <c r="C40" s="2000"/>
      <c r="D40" s="2000"/>
      <c r="E40" s="2000"/>
      <c r="F40" s="2001"/>
      <c r="G40" s="2001"/>
      <c r="H40" s="2002"/>
      <c r="I40" s="2023"/>
      <c r="J40" s="2024"/>
      <c r="K40" s="2024"/>
      <c r="L40" s="2024"/>
      <c r="M40" s="2024"/>
      <c r="N40" s="2024"/>
      <c r="O40" s="2024"/>
      <c r="P40" s="2024"/>
      <c r="Q40" s="2024"/>
      <c r="R40" s="2024"/>
      <c r="S40" s="2025"/>
      <c r="T40" s="2023"/>
      <c r="U40" s="2086"/>
      <c r="V40" s="2024"/>
      <c r="W40" s="2024"/>
      <c r="X40" s="2024"/>
      <c r="Y40" s="2024"/>
      <c r="Z40" s="2024"/>
      <c r="AA40" s="202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12" t="s">
        <v>2090</v>
      </c>
      <c r="B42" s="2004"/>
      <c r="C42" s="2005"/>
      <c r="D42" s="2003" t="s">
        <v>2091</v>
      </c>
      <c r="E42" s="2004"/>
      <c r="F42" s="2004"/>
      <c r="G42" s="2004"/>
      <c r="H42" s="2005"/>
      <c r="I42" s="1987"/>
      <c r="J42" s="1988"/>
      <c r="K42" s="1988"/>
      <c r="L42" s="1988"/>
      <c r="M42" s="1988"/>
      <c r="N42" s="1988"/>
      <c r="O42" s="1989"/>
      <c r="P42" s="2022"/>
      <c r="Q42" s="1988"/>
      <c r="R42" s="1988"/>
      <c r="S42" s="1989"/>
      <c r="T42" s="1987"/>
      <c r="U42" s="1988"/>
      <c r="V42" s="1988"/>
      <c r="W42" s="1989"/>
      <c r="X42" s="2022"/>
      <c r="Y42" s="1988"/>
      <c r="Z42" s="1988"/>
      <c r="AA42" s="198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7"/>
      <c r="B44" s="2018"/>
      <c r="C44" s="2018"/>
      <c r="D44" s="2018"/>
      <c r="E44" s="2018"/>
      <c r="F44" s="2018"/>
      <c r="G44" s="2018"/>
      <c r="H44" s="2019"/>
      <c r="I44" s="1992"/>
      <c r="J44" s="1993"/>
      <c r="K44" s="1993"/>
      <c r="L44" s="1993"/>
      <c r="M44" s="1993"/>
      <c r="N44" s="1993"/>
      <c r="O44" s="1993"/>
      <c r="P44" s="1993"/>
      <c r="Q44" s="1993"/>
      <c r="R44" s="1993"/>
      <c r="S44" s="1994"/>
      <c r="T44" s="1992"/>
      <c r="U44" s="2011"/>
      <c r="V44" s="2011"/>
      <c r="W44" s="2011"/>
      <c r="X44" s="2011"/>
      <c r="Y44" s="2011"/>
      <c r="Z44" s="1993"/>
      <c r="AA44" s="199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B73" sqref="B7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7" t="s">
        <v>1709</v>
      </c>
    </row>
    <row r="23" spans="1:5" x14ac:dyDescent="0.2">
      <c r="A23" s="168"/>
      <c r="B23" s="162" t="s">
        <v>1967</v>
      </c>
      <c r="D23" s="167" t="s">
        <v>658</v>
      </c>
      <c r="E23" s="1857"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6" t="s">
        <v>1125</v>
      </c>
      <c r="B35" s="2096"/>
      <c r="C35" s="2096"/>
      <c r="D35" s="2096"/>
      <c r="E35" s="209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3" t="s">
        <v>715</v>
      </c>
      <c r="B40" s="2093"/>
      <c r="C40" s="2093"/>
      <c r="D40" s="2093"/>
      <c r="E40" s="2093"/>
    </row>
    <row r="41" spans="1:5" x14ac:dyDescent="0.2">
      <c r="A41" s="2094" t="s">
        <v>1706</v>
      </c>
      <c r="B41" s="2094"/>
      <c r="C41" s="2094"/>
      <c r="D41" s="2094"/>
      <c r="E41" s="2094"/>
    </row>
    <row r="42" spans="1:5" ht="12.75" customHeight="1" x14ac:dyDescent="0.2">
      <c r="A42" s="2095" t="s">
        <v>1080</v>
      </c>
      <c r="B42" s="2095"/>
      <c r="C42" s="2095"/>
      <c r="D42" s="2095"/>
      <c r="E42" s="2095"/>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5" t="s">
        <v>1877</v>
      </c>
    </row>
    <row r="60" spans="1:3" x14ac:dyDescent="0.2">
      <c r="A60" s="196"/>
      <c r="B60" s="1505"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7"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6"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38" colorId="8" zoomScale="110" zoomScaleNormal="110" workbookViewId="0">
      <selection activeCell="D79" sqref="D7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7" t="s">
        <v>1230</v>
      </c>
      <c r="B2" s="2097"/>
      <c r="C2" s="2097"/>
      <c r="D2" s="2097"/>
      <c r="E2" s="2097"/>
      <c r="F2" s="2097"/>
      <c r="G2" s="2097"/>
      <c r="H2" s="2097"/>
      <c r="I2" s="2097"/>
      <c r="J2" s="209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1" t="s">
        <v>1731</v>
      </c>
      <c r="B35" s="2112"/>
      <c r="C35" s="2112"/>
      <c r="D35" s="2112"/>
      <c r="E35" s="2113"/>
      <c r="F35" s="2113"/>
      <c r="G35" s="2113"/>
      <c r="H35" s="2113"/>
      <c r="I35" s="211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1" t="s">
        <v>331</v>
      </c>
      <c r="B47" s="2114"/>
      <c r="C47" s="2114"/>
      <c r="D47" s="2114"/>
      <c r="E47" s="2115"/>
      <c r="F47" s="2115"/>
      <c r="G47" s="2115"/>
      <c r="H47" s="2115"/>
      <c r="I47" s="211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35521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8"/>
      <c r="C57" s="2119"/>
      <c r="D57" s="2119"/>
      <c r="E57" s="2119"/>
      <c r="F57" s="2119"/>
      <c r="G57" s="2119"/>
      <c r="H57" s="2119"/>
      <c r="I57" s="2119"/>
      <c r="J57" s="2120"/>
    </row>
    <row r="58" spans="1:10" s="181" customFormat="1" x14ac:dyDescent="0.2">
      <c r="A58" s="253"/>
      <c r="B58" s="2121"/>
      <c r="C58" s="2122"/>
      <c r="D58" s="2122"/>
      <c r="E58" s="2122"/>
      <c r="F58" s="2122"/>
      <c r="G58" s="2122"/>
      <c r="H58" s="2122"/>
      <c r="I58" s="2122"/>
      <c r="J58" s="2123"/>
    </row>
    <row r="59" spans="1:10" s="181" customFormat="1" x14ac:dyDescent="0.2">
      <c r="A59" s="253"/>
      <c r="B59" s="2121"/>
      <c r="C59" s="2122"/>
      <c r="D59" s="2122"/>
      <c r="E59" s="2122"/>
      <c r="F59" s="2122"/>
      <c r="G59" s="2122"/>
      <c r="H59" s="2122"/>
      <c r="I59" s="2122"/>
      <c r="J59" s="2123"/>
    </row>
    <row r="60" spans="1:10" s="181" customFormat="1" x14ac:dyDescent="0.2">
      <c r="A60" s="253"/>
      <c r="B60" s="2121"/>
      <c r="C60" s="2122"/>
      <c r="D60" s="2122"/>
      <c r="E60" s="2122"/>
      <c r="F60" s="2122"/>
      <c r="G60" s="2122"/>
      <c r="H60" s="2122"/>
      <c r="I60" s="2122"/>
      <c r="J60" s="2123"/>
    </row>
    <row r="61" spans="1:10" s="181" customFormat="1" x14ac:dyDescent="0.2">
      <c r="A61" s="253"/>
      <c r="B61" s="2121"/>
      <c r="C61" s="2122"/>
      <c r="D61" s="2122"/>
      <c r="E61" s="2122"/>
      <c r="F61" s="2122"/>
      <c r="G61" s="2122"/>
      <c r="H61" s="2122"/>
      <c r="I61" s="2122"/>
      <c r="J61" s="2123"/>
    </row>
    <row r="62" spans="1:10" s="181" customFormat="1" x14ac:dyDescent="0.2">
      <c r="A62" s="253"/>
      <c r="B62" s="2121"/>
      <c r="C62" s="2122"/>
      <c r="D62" s="2122"/>
      <c r="E62" s="2122"/>
      <c r="F62" s="2122"/>
      <c r="G62" s="2122"/>
      <c r="H62" s="2122"/>
      <c r="I62" s="2122"/>
      <c r="J62" s="2123"/>
    </row>
    <row r="63" spans="1:10" s="181" customFormat="1" x14ac:dyDescent="0.2">
      <c r="A63" s="253"/>
      <c r="B63" s="2121"/>
      <c r="C63" s="2122"/>
      <c r="D63" s="2122"/>
      <c r="E63" s="2122"/>
      <c r="F63" s="2122"/>
      <c r="G63" s="2122"/>
      <c r="H63" s="2122"/>
      <c r="I63" s="2122"/>
      <c r="J63" s="2123"/>
    </row>
    <row r="64" spans="1:10" s="181" customFormat="1" x14ac:dyDescent="0.2">
      <c r="A64" s="253"/>
      <c r="B64" s="2121"/>
      <c r="C64" s="2122"/>
      <c r="D64" s="2122"/>
      <c r="E64" s="2122"/>
      <c r="F64" s="2122"/>
      <c r="G64" s="2122"/>
      <c r="H64" s="2122"/>
      <c r="I64" s="2122"/>
      <c r="J64" s="2123"/>
    </row>
    <row r="65" spans="1:10" s="181" customFormat="1" x14ac:dyDescent="0.2">
      <c r="A65" s="253"/>
      <c r="B65" s="2121"/>
      <c r="C65" s="2122"/>
      <c r="D65" s="2122"/>
      <c r="E65" s="2122"/>
      <c r="F65" s="2122"/>
      <c r="G65" s="2122"/>
      <c r="H65" s="2122"/>
      <c r="I65" s="2122"/>
      <c r="J65" s="2123"/>
    </row>
    <row r="66" spans="1:10" s="181" customFormat="1" x14ac:dyDescent="0.2">
      <c r="A66" s="253"/>
      <c r="B66" s="2121"/>
      <c r="C66" s="2122"/>
      <c r="D66" s="2122"/>
      <c r="E66" s="2122"/>
      <c r="F66" s="2122"/>
      <c r="G66" s="2122"/>
      <c r="H66" s="2122"/>
      <c r="I66" s="2122"/>
      <c r="J66" s="2123"/>
    </row>
    <row r="67" spans="1:10" s="181" customFormat="1" ht="9" customHeight="1" x14ac:dyDescent="0.2">
      <c r="A67" s="254"/>
      <c r="B67" s="2124"/>
      <c r="C67" s="2125"/>
      <c r="D67" s="2125"/>
      <c r="E67" s="2125"/>
      <c r="F67" s="2125"/>
      <c r="G67" s="2125"/>
      <c r="H67" s="2125"/>
      <c r="I67" s="2125"/>
      <c r="J67" s="212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1" t="s">
        <v>1390</v>
      </c>
      <c r="B70" s="2114"/>
      <c r="C70" s="2114"/>
      <c r="D70" s="2114"/>
      <c r="E70" s="2115"/>
      <c r="F70" s="2115"/>
      <c r="G70" s="2115"/>
      <c r="H70" s="2115"/>
      <c r="I70" s="211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9"/>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6" t="s">
        <v>1387</v>
      </c>
      <c r="B83" s="2116"/>
      <c r="C83" s="2116"/>
      <c r="D83" s="211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v>148201</v>
      </c>
      <c r="G88" s="276">
        <v>112837</v>
      </c>
      <c r="H88" s="276">
        <v>69709</v>
      </c>
      <c r="I88" s="276"/>
      <c r="J88" s="277">
        <f>SUM(E88:I88)</f>
        <v>330747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330747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8"/>
      <c r="C102" s="2099"/>
      <c r="D102" s="2099"/>
      <c r="E102" s="2099"/>
      <c r="F102" s="2099"/>
      <c r="G102" s="2099"/>
      <c r="H102" s="2099"/>
      <c r="I102" s="2100"/>
    </row>
    <row r="103" spans="1:9" s="181" customFormat="1" ht="11.25" customHeight="1" x14ac:dyDescent="0.2">
      <c r="A103" s="316"/>
      <c r="B103" s="2101"/>
      <c r="C103" s="2102"/>
      <c r="D103" s="2102"/>
      <c r="E103" s="2102"/>
      <c r="F103" s="2102"/>
      <c r="G103" s="2102"/>
      <c r="H103" s="2102"/>
      <c r="I103" s="2103"/>
    </row>
    <row r="104" spans="1:9" s="181" customFormat="1" ht="11.25" customHeight="1" x14ac:dyDescent="0.2">
      <c r="A104" s="316"/>
      <c r="B104" s="2101"/>
      <c r="C104" s="2102"/>
      <c r="D104" s="2102"/>
      <c r="E104" s="2102"/>
      <c r="F104" s="2102"/>
      <c r="G104" s="2102"/>
      <c r="H104" s="2102"/>
      <c r="I104" s="2103"/>
    </row>
    <row r="105" spans="1:9" s="181" customFormat="1" x14ac:dyDescent="0.2">
      <c r="A105" s="316"/>
      <c r="B105" s="2101"/>
      <c r="C105" s="2102"/>
      <c r="D105" s="2102"/>
      <c r="E105" s="2102"/>
      <c r="F105" s="2102"/>
      <c r="G105" s="2102"/>
      <c r="H105" s="2102"/>
      <c r="I105" s="2103"/>
    </row>
    <row r="106" spans="1:9" s="181" customFormat="1" ht="11.25" customHeight="1" x14ac:dyDescent="0.2">
      <c r="A106" s="316"/>
      <c r="B106" s="2101"/>
      <c r="C106" s="2102"/>
      <c r="D106" s="2102"/>
      <c r="E106" s="2102"/>
      <c r="F106" s="2102"/>
      <c r="G106" s="2102"/>
      <c r="H106" s="2102"/>
      <c r="I106" s="2103"/>
    </row>
    <row r="107" spans="1:9" s="181" customFormat="1" ht="11.25" customHeight="1" x14ac:dyDescent="0.2">
      <c r="A107" s="316"/>
      <c r="B107" s="2101"/>
      <c r="C107" s="2102"/>
      <c r="D107" s="2102"/>
      <c r="E107" s="2102"/>
      <c r="F107" s="2102"/>
      <c r="G107" s="2102"/>
      <c r="H107" s="2102"/>
      <c r="I107" s="2103"/>
    </row>
    <row r="108" spans="1:9" s="181" customFormat="1" ht="11.25" customHeight="1" x14ac:dyDescent="0.2">
      <c r="A108" s="316"/>
      <c r="B108" s="2101"/>
      <c r="C108" s="2102"/>
      <c r="D108" s="2102"/>
      <c r="E108" s="2102"/>
      <c r="F108" s="2102"/>
      <c r="G108" s="2102"/>
      <c r="H108" s="2102"/>
      <c r="I108" s="2103"/>
    </row>
    <row r="109" spans="1:9" s="181" customFormat="1" ht="11.25" customHeight="1" x14ac:dyDescent="0.2">
      <c r="A109" s="316"/>
      <c r="B109" s="2101"/>
      <c r="C109" s="2102"/>
      <c r="D109" s="2102"/>
      <c r="E109" s="2102"/>
      <c r="F109" s="2102"/>
      <c r="G109" s="2102"/>
      <c r="H109" s="2102"/>
      <c r="I109" s="2103"/>
    </row>
    <row r="110" spans="1:9" s="181" customFormat="1" ht="11.25" customHeight="1" x14ac:dyDescent="0.2">
      <c r="A110" s="316"/>
      <c r="B110" s="2101"/>
      <c r="C110" s="2102"/>
      <c r="D110" s="2102"/>
      <c r="E110" s="2102"/>
      <c r="F110" s="2102"/>
      <c r="G110" s="2102"/>
      <c r="H110" s="2102"/>
      <c r="I110" s="2103"/>
    </row>
    <row r="111" spans="1:9" s="181" customFormat="1" ht="11.25" customHeight="1" x14ac:dyDescent="0.2">
      <c r="A111" s="316"/>
      <c r="B111" s="2101"/>
      <c r="C111" s="2102"/>
      <c r="D111" s="2102"/>
      <c r="E111" s="2102"/>
      <c r="F111" s="2102"/>
      <c r="G111" s="2102"/>
      <c r="H111" s="2102"/>
      <c r="I111" s="2103"/>
    </row>
    <row r="112" spans="1:9" s="181" customFormat="1" ht="11.25" customHeight="1" x14ac:dyDescent="0.2">
      <c r="A112" s="316"/>
      <c r="B112" s="2104"/>
      <c r="C112" s="2105"/>
      <c r="D112" s="2105"/>
      <c r="E112" s="2105"/>
      <c r="F112" s="2105"/>
      <c r="G112" s="2105"/>
      <c r="H112" s="2105"/>
      <c r="I112" s="210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7" t="s">
        <v>2098</v>
      </c>
      <c r="D114" s="210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8" t="s">
        <v>1397</v>
      </c>
      <c r="D117" s="2109"/>
      <c r="E117" s="2110"/>
      <c r="F117" s="2110"/>
      <c r="G117" s="2110"/>
      <c r="H117" s="2110"/>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topLeftCell="A19" colorId="8" zoomScale="110" zoomScaleNormal="110" workbookViewId="0">
      <selection activeCell="F31" sqref="F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7" t="s">
        <v>404</v>
      </c>
      <c r="B1" s="2127"/>
      <c r="C1" s="2127"/>
      <c r="D1" s="2127"/>
      <c r="E1" s="2127"/>
      <c r="F1" s="2127"/>
      <c r="G1" s="2127"/>
      <c r="H1" s="2127"/>
      <c r="I1" s="2127"/>
      <c r="J1" s="2127"/>
      <c r="K1" s="2127"/>
      <c r="L1" s="2127"/>
      <c r="M1" s="212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291763215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4.0465899999999999E-2</v>
      </c>
      <c r="E10" s="356" t="s">
        <v>1062</v>
      </c>
      <c r="F10" s="355">
        <v>8.9014999999999997E-3</v>
      </c>
      <c r="G10" s="356" t="s">
        <v>1062</v>
      </c>
      <c r="H10" s="355">
        <v>5.8266999999999998E-3</v>
      </c>
      <c r="I10" s="356" t="s">
        <v>1063</v>
      </c>
      <c r="J10" s="1752">
        <f>ROUND(D10+F10+H10,5)</f>
        <v>5.5190000000000003E-2</v>
      </c>
      <c r="K10" s="222"/>
      <c r="L10" s="355">
        <v>3.4279999999999998E-4</v>
      </c>
      <c r="M10" s="222"/>
    </row>
    <row r="11" spans="1:14" ht="7.5" customHeight="1" x14ac:dyDescent="0.2">
      <c r="B11" s="222"/>
      <c r="C11" s="222"/>
      <c r="D11" s="2137" t="str">
        <f>IF(SUM(J10)&lt;=0.0999999,"","Enter the Tax Rates by moving the decimal two places to the left.")</f>
        <v/>
      </c>
      <c r="E11" s="2138"/>
      <c r="F11" s="2138"/>
      <c r="G11" s="2138"/>
      <c r="H11" s="2138"/>
      <c r="I11" s="2138"/>
      <c r="J11" s="213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48591429</v>
      </c>
      <c r="E16" s="356"/>
      <c r="F16" s="1753">
        <f>SUM('Acct Summary 7-8'!C17,'Acct Summary 7-8'!D17,'Acct Summary 7-8'!F17)</f>
        <v>47694238</v>
      </c>
      <c r="G16" s="356"/>
      <c r="H16" s="1753">
        <f>SUM(D16-F16)</f>
        <v>897191</v>
      </c>
      <c r="I16" s="222"/>
      <c r="J16" s="1753">
        <f>SUM('Acct Summary 7-8'!C81,'Acct Summary 7-8'!D81,'Acct Summary 7-8'!F81,'Acct Summary 7-8'!I81)</f>
        <v>24773737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40263323.670000002</v>
      </c>
      <c r="I31" s="368"/>
      <c r="J31" s="222"/>
      <c r="K31" s="222"/>
      <c r="L31" s="222"/>
      <c r="M31" s="222"/>
    </row>
    <row r="32" spans="1:13" ht="13.35" customHeight="1" x14ac:dyDescent="0.2">
      <c r="B32" s="369" t="s">
        <v>2081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28809003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8"/>
      <c r="C54" s="2129"/>
      <c r="D54" s="2129"/>
      <c r="E54" s="2129"/>
      <c r="F54" s="2129"/>
      <c r="G54" s="2129"/>
      <c r="H54" s="2129"/>
      <c r="I54" s="2129"/>
      <c r="J54" s="2129"/>
      <c r="K54" s="2129"/>
      <c r="L54" s="2130"/>
      <c r="M54" s="380"/>
    </row>
    <row r="55" spans="1:13" ht="12.75" customHeight="1" x14ac:dyDescent="0.2">
      <c r="B55" s="2131"/>
      <c r="C55" s="2132"/>
      <c r="D55" s="2132"/>
      <c r="E55" s="2132"/>
      <c r="F55" s="2132"/>
      <c r="G55" s="2132"/>
      <c r="H55" s="2132"/>
      <c r="I55" s="2132"/>
      <c r="J55" s="2132"/>
      <c r="K55" s="2132"/>
      <c r="L55" s="2133"/>
      <c r="M55" s="380"/>
    </row>
    <row r="56" spans="1:13" ht="12.75" customHeight="1" x14ac:dyDescent="0.2">
      <c r="B56" s="2131"/>
      <c r="C56" s="2132"/>
      <c r="D56" s="2132"/>
      <c r="E56" s="2132"/>
      <c r="F56" s="2132"/>
      <c r="G56" s="2132"/>
      <c r="H56" s="2132"/>
      <c r="I56" s="2132"/>
      <c r="J56" s="2132"/>
      <c r="K56" s="2132"/>
      <c r="L56" s="2133"/>
      <c r="M56" s="222"/>
    </row>
    <row r="57" spans="1:13" ht="12.75" customHeight="1" x14ac:dyDescent="0.2">
      <c r="B57" s="2131"/>
      <c r="C57" s="2132"/>
      <c r="D57" s="2132"/>
      <c r="E57" s="2132"/>
      <c r="F57" s="2132"/>
      <c r="G57" s="2132"/>
      <c r="H57" s="2132"/>
      <c r="I57" s="2132"/>
      <c r="J57" s="2132"/>
      <c r="K57" s="2132"/>
      <c r="L57" s="2133"/>
      <c r="M57" s="222"/>
    </row>
    <row r="58" spans="1:13" x14ac:dyDescent="0.2">
      <c r="B58" s="2134"/>
      <c r="C58" s="2135"/>
      <c r="D58" s="2135"/>
      <c r="E58" s="2135"/>
      <c r="F58" s="2135"/>
      <c r="G58" s="2135"/>
      <c r="H58" s="2135"/>
      <c r="I58" s="2135"/>
      <c r="J58" s="2135"/>
      <c r="K58" s="2135"/>
      <c r="L58" s="213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9"/>
      <c r="D61" s="214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topLeftCell="A19" zoomScale="110" zoomScaleNormal="110" workbookViewId="0">
      <selection activeCell="D41" sqref="D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2"/>
      <c r="B1" s="2143"/>
      <c r="C1" s="2143"/>
      <c r="D1" s="384"/>
      <c r="E1" s="384"/>
      <c r="F1" s="384"/>
      <c r="G1" s="384"/>
      <c r="H1" s="384"/>
      <c r="I1" s="384"/>
      <c r="J1" s="384"/>
      <c r="K1" s="384"/>
      <c r="L1" s="384"/>
      <c r="M1" s="384"/>
      <c r="N1" s="384"/>
      <c r="O1" s="2142"/>
      <c r="P1" s="2143"/>
      <c r="Q1" s="2143"/>
    </row>
    <row r="2" spans="1:18" ht="15" x14ac:dyDescent="0.2">
      <c r="A2" s="2146" t="s">
        <v>577</v>
      </c>
      <c r="B2" s="2146"/>
      <c r="C2" s="2146"/>
      <c r="D2" s="2146"/>
      <c r="E2" s="2146"/>
      <c r="F2" s="2146"/>
      <c r="G2" s="2146"/>
      <c r="H2" s="2146"/>
      <c r="I2" s="2146"/>
      <c r="J2" s="2146"/>
      <c r="K2" s="2146"/>
      <c r="L2" s="2146"/>
      <c r="M2" s="2146"/>
      <c r="N2" s="2146"/>
      <c r="O2" s="2146"/>
      <c r="P2" s="2146"/>
      <c r="Q2" s="2146"/>
      <c r="R2" s="2146"/>
    </row>
    <row r="3" spans="1:18" ht="12.75" x14ac:dyDescent="0.2">
      <c r="A3" s="2147" t="s">
        <v>1480</v>
      </c>
      <c r="B3" s="2147"/>
      <c r="C3" s="2147"/>
      <c r="D3" s="2147"/>
      <c r="E3" s="2147"/>
      <c r="F3" s="2147"/>
      <c r="G3" s="2147"/>
      <c r="H3" s="2147"/>
      <c r="I3" s="2147"/>
      <c r="J3" s="2147"/>
      <c r="K3" s="2147"/>
      <c r="L3" s="2147"/>
      <c r="M3" s="2147"/>
      <c r="N3" s="2147"/>
      <c r="O3" s="2147"/>
      <c r="P3" s="2147"/>
      <c r="Q3" s="2147"/>
      <c r="R3" s="2147"/>
    </row>
    <row r="4" spans="1:18" x14ac:dyDescent="0.2">
      <c r="A4" s="2148" t="s">
        <v>1635</v>
      </c>
      <c r="B4" s="2148"/>
      <c r="C4" s="2148"/>
      <c r="D4" s="2148"/>
      <c r="E4" s="2148"/>
      <c r="F4" s="2148"/>
      <c r="G4" s="2148"/>
      <c r="H4" s="2148"/>
      <c r="I4" s="2148"/>
      <c r="J4" s="2148"/>
      <c r="K4" s="2148"/>
      <c r="L4" s="2148"/>
      <c r="M4" s="2148"/>
      <c r="N4" s="2148"/>
      <c r="O4" s="2148"/>
      <c r="P4" s="2148"/>
      <c r="Q4" s="2148"/>
      <c r="R4" s="214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FREEPORT SCHOOL DISTRICT NO. 145</v>
      </c>
      <c r="E7" s="391"/>
      <c r="G7" s="252"/>
      <c r="H7" s="387"/>
      <c r="I7" s="387"/>
      <c r="J7" s="387"/>
      <c r="K7" s="387"/>
      <c r="L7" s="329"/>
      <c r="M7" s="329"/>
      <c r="N7" s="329"/>
      <c r="O7" s="329"/>
      <c r="P7" s="329"/>
    </row>
    <row r="8" spans="1:18" ht="12.75" x14ac:dyDescent="0.2">
      <c r="A8" s="329"/>
      <c r="B8" s="329"/>
      <c r="C8" s="389" t="s">
        <v>1187</v>
      </c>
      <c r="D8" s="392" t="str">
        <f>COVER!A13</f>
        <v>08-089-1450-22</v>
      </c>
      <c r="E8" s="393"/>
      <c r="G8" s="329"/>
      <c r="H8" s="329"/>
      <c r="I8" s="329"/>
      <c r="J8" s="329"/>
      <c r="K8" s="329"/>
      <c r="L8" s="329"/>
      <c r="M8" s="329"/>
      <c r="N8" s="329"/>
      <c r="O8" s="329"/>
      <c r="P8" s="329"/>
    </row>
    <row r="9" spans="1:18" ht="12.75" x14ac:dyDescent="0.2">
      <c r="A9" s="329"/>
      <c r="B9" s="329"/>
      <c r="C9" s="389" t="s">
        <v>737</v>
      </c>
      <c r="D9" s="394" t="str">
        <f>COVER!A15</f>
        <v>STEPHENSON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24773737</v>
      </c>
      <c r="I12" s="404"/>
      <c r="J12" s="404"/>
      <c r="K12" s="405">
        <f>TRUNC((H12/H13*100000),5)/100000</f>
        <v>0.50983758879999996</v>
      </c>
      <c r="L12" s="406"/>
      <c r="M12" s="360" t="s">
        <v>1206</v>
      </c>
      <c r="N12" s="360"/>
      <c r="O12" s="407">
        <v>0.35</v>
      </c>
      <c r="P12" s="218"/>
      <c r="Q12" s="218"/>
    </row>
    <row r="13" spans="1:18" s="408" customFormat="1" ht="12.75" x14ac:dyDescent="0.2">
      <c r="A13" s="218"/>
      <c r="B13" s="401"/>
      <c r="C13" s="2144" t="s">
        <v>1391</v>
      </c>
      <c r="D13" s="2145"/>
      <c r="E13" s="218"/>
      <c r="F13" s="409" t="s">
        <v>826</v>
      </c>
      <c r="G13" s="402"/>
      <c r="H13" s="403">
        <f>SUM('Acct Summary 7-8'!C8+'Acct Summary 7-8'!D8+'Acct Summary 7-8'!F8+'Acct Summary 7-8'!I8)+H14</f>
        <v>48591429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47694238</v>
      </c>
      <c r="I17" s="404"/>
      <c r="J17" s="416"/>
      <c r="K17" s="405">
        <f>TRUNC((H17/H18*100000),5)/100000</f>
        <v>0.98153602350000002</v>
      </c>
      <c r="L17" s="406"/>
      <c r="M17" s="417" t="s">
        <v>1233</v>
      </c>
      <c r="O17" s="418" t="str">
        <f>IF(AND(O16="2", J20 &gt; 2),"1",IF(AND(O16 = "1", J20 &gt; 2),"2",IF(AND(O16="1", J20 &gt;1),"1","0")))</f>
        <v>0</v>
      </c>
      <c r="P17" s="218"/>
    </row>
    <row r="18" spans="1:18" s="408" customFormat="1" ht="11.25" x14ac:dyDescent="0.2">
      <c r="A18" s="218"/>
      <c r="B18" s="401"/>
      <c r="C18" s="2144" t="s">
        <v>1384</v>
      </c>
      <c r="D18" s="2145"/>
      <c r="E18" s="218"/>
      <c r="F18" s="419" t="s">
        <v>827</v>
      </c>
      <c r="G18" s="402"/>
      <c r="H18" s="403">
        <f>SUM('Acct Summary 7-8'!C8+'Acct Summary 7-8'!D8+'Acct Summary 7-8'!F8+'Acct Summary 7-8'!I8)+H19</f>
        <v>48591429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41" t="s">
        <v>1479</v>
      </c>
      <c r="D24" s="2141"/>
      <c r="E24" s="218"/>
      <c r="F24" s="218" t="s">
        <v>465</v>
      </c>
      <c r="G24" s="402"/>
      <c r="H24" s="403">
        <f>SUM('Assets-Liab 5-6'!C4+'Assets-Liab 5-6'!D4+'Assets-Liab 5-6'!F4+'Assets-Liab 5-6'!I4+'Assets-Liab 5-6'!C5+'Assets-Liab 5-6'!D5+'Assets-Liab 5-6'!F5+'Assets-Liab 5-6'!I5)</f>
        <v>20144017</v>
      </c>
      <c r="I24" s="422"/>
      <c r="J24" s="422"/>
      <c r="K24" s="423">
        <f>TRUNC(((H24/H25*100000)/100000),2)</f>
        <v>152.04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132483.99444000001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13687050.06047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28809003</v>
      </c>
      <c r="I32" s="420"/>
      <c r="J32" s="420"/>
      <c r="K32" s="423">
        <f>TRUNC(100-((((H32/H33*100))*100)/100),2)</f>
        <v>28.44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40263323.670000002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view="pageLayout" topLeftCell="A13" colorId="8" zoomScaleNormal="90" workbookViewId="0">
      <selection activeCell="A4" sqref="A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1" t="s">
        <v>1030</v>
      </c>
      <c r="B3" s="2152"/>
      <c r="C3" s="1579"/>
      <c r="D3" s="1580"/>
      <c r="E3" s="1580"/>
      <c r="F3" s="1580"/>
      <c r="G3" s="1580"/>
      <c r="H3" s="1580"/>
      <c r="I3" s="1580"/>
      <c r="J3" s="1580"/>
      <c r="K3" s="1580"/>
      <c r="L3" s="1580"/>
      <c r="M3" s="1581"/>
      <c r="N3" s="1582"/>
    </row>
    <row r="4" spans="1:14" ht="13.5" customHeight="1" x14ac:dyDescent="0.2">
      <c r="A4" s="463" t="s">
        <v>1750</v>
      </c>
      <c r="B4" s="464"/>
      <c r="C4" s="465">
        <v>542418</v>
      </c>
      <c r="D4" s="466">
        <v>12738693</v>
      </c>
      <c r="E4" s="466">
        <v>642748</v>
      </c>
      <c r="F4" s="466">
        <v>1473250</v>
      </c>
      <c r="G4" s="466">
        <v>1622939</v>
      </c>
      <c r="H4" s="466"/>
      <c r="I4" s="466">
        <v>236691</v>
      </c>
      <c r="J4" s="467">
        <v>406626</v>
      </c>
      <c r="K4" s="466">
        <v>265009</v>
      </c>
      <c r="L4" s="466">
        <v>408023</v>
      </c>
      <c r="M4" s="468"/>
      <c r="N4" s="469"/>
    </row>
    <row r="5" spans="1:14" x14ac:dyDescent="0.2">
      <c r="A5" s="463" t="s">
        <v>1049</v>
      </c>
      <c r="B5" s="470">
        <v>120</v>
      </c>
      <c r="C5" s="465">
        <v>2309465</v>
      </c>
      <c r="D5" s="466">
        <v>1273664</v>
      </c>
      <c r="E5" s="466"/>
      <c r="F5" s="466">
        <v>1558990</v>
      </c>
      <c r="G5" s="466"/>
      <c r="H5" s="466"/>
      <c r="I5" s="466">
        <v>10846</v>
      </c>
      <c r="J5" s="467"/>
      <c r="K5" s="471"/>
      <c r="L5" s="472"/>
      <c r="M5" s="468"/>
      <c r="N5" s="469"/>
    </row>
    <row r="6" spans="1:14" ht="13.5" customHeight="1" x14ac:dyDescent="0.2">
      <c r="A6" s="473" t="s">
        <v>437</v>
      </c>
      <c r="B6" s="470">
        <v>130</v>
      </c>
      <c r="C6" s="465">
        <v>12139406</v>
      </c>
      <c r="D6" s="466">
        <v>1903326</v>
      </c>
      <c r="E6" s="466">
        <v>2270311</v>
      </c>
      <c r="F6" s="466">
        <v>1478680</v>
      </c>
      <c r="G6" s="471">
        <v>1504771</v>
      </c>
      <c r="H6" s="471"/>
      <c r="I6" s="466">
        <v>86996</v>
      </c>
      <c r="J6" s="474">
        <v>617564</v>
      </c>
      <c r="K6" s="471">
        <v>130492</v>
      </c>
      <c r="L6" s="475"/>
      <c r="M6" s="468"/>
      <c r="N6" s="469"/>
    </row>
    <row r="7" spans="1:14" ht="13.5" customHeight="1" x14ac:dyDescent="0.2">
      <c r="A7" s="473" t="s">
        <v>438</v>
      </c>
      <c r="B7" s="470">
        <v>140</v>
      </c>
      <c r="C7" s="476">
        <v>1950000</v>
      </c>
      <c r="D7" s="467"/>
      <c r="E7" s="467"/>
      <c r="F7" s="467"/>
      <c r="G7" s="467"/>
      <c r="H7" s="467"/>
      <c r="I7" s="467"/>
      <c r="J7" s="467"/>
      <c r="K7" s="467"/>
      <c r="L7" s="477"/>
      <c r="M7" s="468"/>
      <c r="N7" s="469"/>
    </row>
    <row r="8" spans="1:14" ht="13.5" customHeight="1" x14ac:dyDescent="0.2">
      <c r="A8" s="473" t="s">
        <v>287</v>
      </c>
      <c r="B8" s="470">
        <v>150</v>
      </c>
      <c r="C8" s="476">
        <f>44395+992340</f>
        <v>1036735</v>
      </c>
      <c r="D8" s="467"/>
      <c r="E8" s="467"/>
      <c r="F8" s="467">
        <v>581930</v>
      </c>
      <c r="G8" s="478"/>
      <c r="H8" s="467"/>
      <c r="I8" s="474"/>
      <c r="J8" s="474"/>
      <c r="K8" s="479"/>
      <c r="L8" s="480"/>
      <c r="M8" s="468"/>
      <c r="N8" s="469"/>
    </row>
    <row r="9" spans="1:14" ht="13.5" customHeight="1" x14ac:dyDescent="0.2">
      <c r="A9" s="473" t="s">
        <v>288</v>
      </c>
      <c r="B9" s="470">
        <v>160</v>
      </c>
      <c r="C9" s="476">
        <v>662</v>
      </c>
      <c r="D9" s="467">
        <v>393</v>
      </c>
      <c r="E9" s="467"/>
      <c r="F9" s="467"/>
      <c r="G9" s="467"/>
      <c r="H9" s="478"/>
      <c r="I9" s="467"/>
      <c r="J9" s="467"/>
      <c r="K9" s="467"/>
      <c r="L9" s="467"/>
      <c r="M9" s="468"/>
      <c r="N9" s="469"/>
    </row>
    <row r="10" spans="1:14" ht="13.5" customHeight="1" x14ac:dyDescent="0.2">
      <c r="A10" s="473" t="s">
        <v>1048</v>
      </c>
      <c r="B10" s="470">
        <v>170</v>
      </c>
      <c r="C10" s="465">
        <v>15000</v>
      </c>
      <c r="D10" s="466"/>
      <c r="E10" s="467"/>
      <c r="F10" s="466"/>
      <c r="G10" s="478"/>
      <c r="H10" s="481"/>
      <c r="I10" s="467"/>
      <c r="J10" s="467"/>
      <c r="K10" s="481"/>
      <c r="L10" s="481"/>
      <c r="M10" s="469"/>
      <c r="N10" s="469"/>
    </row>
    <row r="11" spans="1:14" ht="13.5" customHeight="1" x14ac:dyDescent="0.2">
      <c r="A11" s="473" t="s">
        <v>289</v>
      </c>
      <c r="B11" s="470">
        <v>180</v>
      </c>
      <c r="C11" s="476"/>
      <c r="D11" s="467"/>
      <c r="E11" s="467">
        <v>676822</v>
      </c>
      <c r="F11" s="467"/>
      <c r="G11" s="467"/>
      <c r="H11" s="467"/>
      <c r="I11" s="478"/>
      <c r="J11" s="478"/>
      <c r="K11" s="467"/>
      <c r="L11" s="467"/>
      <c r="M11" s="469"/>
      <c r="N11" s="469"/>
    </row>
    <row r="12" spans="1:14" ht="13.5" customHeight="1" x14ac:dyDescent="0.2">
      <c r="A12" s="473" t="s">
        <v>439</v>
      </c>
      <c r="B12" s="470">
        <v>190</v>
      </c>
      <c r="C12" s="465">
        <v>6224</v>
      </c>
      <c r="D12" s="466"/>
      <c r="E12" s="466"/>
      <c r="F12" s="466"/>
      <c r="G12" s="466"/>
      <c r="H12" s="466"/>
      <c r="I12" s="466"/>
      <c r="J12" s="467"/>
      <c r="K12" s="466"/>
      <c r="L12" s="466"/>
      <c r="M12" s="469"/>
      <c r="N12" s="469"/>
    </row>
    <row r="13" spans="1:14" ht="13.5" customHeight="1" thickBot="1" x14ac:dyDescent="0.25">
      <c r="A13" s="1756" t="s">
        <v>665</v>
      </c>
      <c r="B13" s="1729"/>
      <c r="C13" s="1757">
        <f>SUM(C4:C12)</f>
        <v>17999910</v>
      </c>
      <c r="D13" s="1757">
        <f t="shared" ref="D13:L13" si="0">SUM(D4:D12)</f>
        <v>15916076</v>
      </c>
      <c r="E13" s="1757">
        <f t="shared" si="0"/>
        <v>3589881</v>
      </c>
      <c r="F13" s="1757">
        <f t="shared" si="0"/>
        <v>5092850</v>
      </c>
      <c r="G13" s="1757">
        <f t="shared" si="0"/>
        <v>3127710</v>
      </c>
      <c r="H13" s="1757">
        <f t="shared" si="0"/>
        <v>0</v>
      </c>
      <c r="I13" s="1757">
        <f t="shared" si="0"/>
        <v>334533</v>
      </c>
      <c r="J13" s="1757">
        <f t="shared" si="0"/>
        <v>1024190</v>
      </c>
      <c r="K13" s="1757">
        <f t="shared" si="0"/>
        <v>395501</v>
      </c>
      <c r="L13" s="1757">
        <f t="shared" si="0"/>
        <v>408023</v>
      </c>
      <c r="M13" s="468"/>
      <c r="N13" s="469"/>
    </row>
    <row r="14" spans="1:14" ht="18" customHeight="1" thickTop="1" x14ac:dyDescent="0.2">
      <c r="A14" s="2153" t="s">
        <v>149</v>
      </c>
      <c r="B14" s="2154"/>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822541</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47057537</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2131047</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f>
        <v>4728211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2284810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26524193</v>
      </c>
    </row>
    <row r="23" spans="1:14" ht="13.5" customHeight="1" thickBot="1" x14ac:dyDescent="0.25">
      <c r="A23" s="1756" t="s">
        <v>664</v>
      </c>
      <c r="B23" s="1761"/>
      <c r="C23" s="468"/>
      <c r="D23" s="468"/>
      <c r="E23" s="468"/>
      <c r="F23" s="468"/>
      <c r="G23" s="468"/>
      <c r="H23" s="468"/>
      <c r="I23" s="468"/>
      <c r="J23" s="468"/>
      <c r="K23" s="468"/>
      <c r="L23" s="468"/>
      <c r="M23" s="1708">
        <f>SUM(M15:M22)</f>
        <v>54739336</v>
      </c>
      <c r="N23" s="1708">
        <f>SUM(N21:N22)</f>
        <v>28809003</v>
      </c>
    </row>
    <row r="24" spans="1:14" ht="18" customHeight="1" thickTop="1" x14ac:dyDescent="0.2">
      <c r="A24" s="2155" t="s">
        <v>619</v>
      </c>
      <c r="B24" s="2156"/>
      <c r="C24" s="1588"/>
      <c r="D24" s="1585"/>
      <c r="E24" s="1585"/>
      <c r="F24" s="1585"/>
      <c r="G24" s="1585"/>
      <c r="H24" s="1585"/>
      <c r="I24" s="1585"/>
      <c r="J24" s="1585"/>
      <c r="K24" s="1585"/>
      <c r="L24" s="1585"/>
      <c r="M24" s="1584"/>
      <c r="N24" s="1589"/>
    </row>
    <row r="25" spans="1:14" x14ac:dyDescent="0.2">
      <c r="A25" s="473" t="s">
        <v>666</v>
      </c>
      <c r="B25" s="470">
        <v>410</v>
      </c>
      <c r="C25" s="478">
        <v>1950000</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0</v>
      </c>
      <c r="D27" s="467">
        <v>155431</v>
      </c>
      <c r="E27" s="467"/>
      <c r="F27" s="467">
        <v>143491</v>
      </c>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2750830</v>
      </c>
      <c r="D30" s="474"/>
      <c r="E30" s="467"/>
      <c r="F30" s="467">
        <v>1925</v>
      </c>
      <c r="G30" s="467">
        <v>77986</v>
      </c>
      <c r="H30" s="467"/>
      <c r="I30" s="467"/>
      <c r="J30" s="467"/>
      <c r="K30" s="478"/>
      <c r="L30" s="468"/>
      <c r="M30" s="468"/>
      <c r="N30" s="468"/>
    </row>
    <row r="31" spans="1:14" ht="13.5" customHeight="1" x14ac:dyDescent="0.2">
      <c r="A31" s="473" t="s">
        <v>672</v>
      </c>
      <c r="B31" s="470">
        <v>480</v>
      </c>
      <c r="C31" s="466">
        <v>642179</v>
      </c>
      <c r="D31" s="467"/>
      <c r="E31" s="467"/>
      <c r="F31" s="466">
        <v>362</v>
      </c>
      <c r="G31" s="467"/>
      <c r="H31" s="467"/>
      <c r="I31" s="467"/>
      <c r="J31" s="467"/>
      <c r="K31" s="467"/>
      <c r="L31" s="468"/>
      <c r="M31" s="468"/>
      <c r="N31" s="468"/>
    </row>
    <row r="32" spans="1:14" ht="13.5" customHeight="1" x14ac:dyDescent="0.2">
      <c r="A32" s="490" t="s">
        <v>673</v>
      </c>
      <c r="B32" s="491">
        <v>490</v>
      </c>
      <c r="C32" s="492">
        <f>46660+6978247+8348-101969</f>
        <v>6931286</v>
      </c>
      <c r="D32" s="492">
        <v>1094112</v>
      </c>
      <c r="E32" s="474">
        <v>1305071</v>
      </c>
      <c r="F32" s="474">
        <v>850008</v>
      </c>
      <c r="G32" s="474">
        <v>865005</v>
      </c>
      <c r="H32" s="474"/>
      <c r="I32" s="474">
        <v>50008</v>
      </c>
      <c r="J32" s="474">
        <v>355003</v>
      </c>
      <c r="K32" s="479">
        <v>75012</v>
      </c>
      <c r="L32" s="468"/>
      <c r="M32" s="468"/>
      <c r="N32" s="468"/>
    </row>
    <row r="33" spans="1:14" ht="13.5" customHeight="1" x14ac:dyDescent="0.2">
      <c r="A33" s="493" t="s">
        <v>321</v>
      </c>
      <c r="B33" s="491">
        <v>493</v>
      </c>
      <c r="C33" s="467"/>
      <c r="D33" s="467"/>
      <c r="E33" s="467"/>
      <c r="F33" s="467"/>
      <c r="G33" s="467"/>
      <c r="H33" s="467"/>
      <c r="I33" s="467"/>
      <c r="J33" s="467"/>
      <c r="K33" s="467"/>
      <c r="L33" s="467">
        <v>408023</v>
      </c>
      <c r="M33" s="468"/>
      <c r="N33" s="469"/>
    </row>
    <row r="34" spans="1:14" ht="13.5" customHeight="1" thickBot="1" x14ac:dyDescent="0.25">
      <c r="A34" s="1758" t="s">
        <v>675</v>
      </c>
      <c r="B34" s="1759"/>
      <c r="C34" s="1760">
        <f>SUM(C25:C33)</f>
        <v>12274295</v>
      </c>
      <c r="D34" s="1760">
        <f t="shared" ref="D34:K34" si="1">SUM(D25:D33)</f>
        <v>1249543</v>
      </c>
      <c r="E34" s="1760">
        <f t="shared" si="1"/>
        <v>1305071</v>
      </c>
      <c r="F34" s="1760">
        <f t="shared" si="1"/>
        <v>995786</v>
      </c>
      <c r="G34" s="1760">
        <f t="shared" si="1"/>
        <v>942991</v>
      </c>
      <c r="H34" s="1760">
        <f t="shared" si="1"/>
        <v>0</v>
      </c>
      <c r="I34" s="1760">
        <f t="shared" si="1"/>
        <v>50008</v>
      </c>
      <c r="J34" s="1760">
        <f t="shared" si="1"/>
        <v>355003</v>
      </c>
      <c r="K34" s="1760">
        <f t="shared" si="1"/>
        <v>75012</v>
      </c>
      <c r="L34" s="1741">
        <f>SUM(L33)</f>
        <v>408023</v>
      </c>
      <c r="M34" s="468"/>
      <c r="N34" s="480"/>
    </row>
    <row r="35" spans="1:14" ht="18" customHeight="1" thickTop="1" x14ac:dyDescent="0.2">
      <c r="A35" s="2157" t="s">
        <v>550</v>
      </c>
      <c r="B35" s="2158"/>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28809003</v>
      </c>
    </row>
    <row r="37" spans="1:14" ht="13.5" thickBot="1" x14ac:dyDescent="0.25">
      <c r="A37" s="1756" t="s">
        <v>674</v>
      </c>
      <c r="B37" s="1761"/>
      <c r="C37" s="477"/>
      <c r="D37" s="477"/>
      <c r="E37" s="477"/>
      <c r="F37" s="477"/>
      <c r="G37" s="477"/>
      <c r="H37" s="477"/>
      <c r="I37" s="477"/>
      <c r="J37" s="477"/>
      <c r="K37" s="477"/>
      <c r="L37" s="480"/>
      <c r="M37" s="468"/>
      <c r="N37" s="1708">
        <f>SUM(N36:N36)</f>
        <v>28809003</v>
      </c>
    </row>
    <row r="38" spans="1:14" s="329" customFormat="1" ht="13.5" customHeight="1" thickTop="1" x14ac:dyDescent="0.2">
      <c r="A38" s="496" t="s">
        <v>440</v>
      </c>
      <c r="B38" s="483">
        <v>714</v>
      </c>
      <c r="C38" s="466"/>
      <c r="D38" s="466"/>
      <c r="E38" s="466"/>
      <c r="F38" s="466"/>
      <c r="G38" s="466">
        <v>830969</v>
      </c>
      <c r="H38" s="466"/>
      <c r="I38" s="466"/>
      <c r="J38" s="467"/>
      <c r="K38" s="466"/>
      <c r="L38" s="481"/>
      <c r="M38" s="497"/>
      <c r="N38" s="497"/>
    </row>
    <row r="39" spans="1:14" s="329" customFormat="1" ht="13.5" customHeight="1" x14ac:dyDescent="0.2">
      <c r="A39" s="496" t="s">
        <v>360</v>
      </c>
      <c r="B39" s="483">
        <v>730</v>
      </c>
      <c r="C39" s="466">
        <f>'Acct Summary 7-8'!C81</f>
        <v>5725615</v>
      </c>
      <c r="D39" s="466">
        <f>'Acct Summary 7-8'!D81</f>
        <v>14666533</v>
      </c>
      <c r="E39" s="466">
        <f>'Acct Summary 7-8'!E81</f>
        <v>2284810</v>
      </c>
      <c r="F39" s="466">
        <f>'Acct Summary 7-8'!F81</f>
        <v>4097064</v>
      </c>
      <c r="G39" s="466">
        <f>'Acct Summary 7-8'!G81-G38</f>
        <v>1353750</v>
      </c>
      <c r="H39" s="466">
        <f>'Acct Summary 7-8'!H81</f>
        <v>0</v>
      </c>
      <c r="I39" s="466">
        <f>'Acct Summary 7-8'!I81</f>
        <v>284525</v>
      </c>
      <c r="J39" s="467">
        <f>'Acct Summary 7-8'!J81</f>
        <v>669187</v>
      </c>
      <c r="K39" s="466">
        <f>'Acct Summary 7-8'!K81</f>
        <v>320489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54739336</v>
      </c>
      <c r="N40" s="497"/>
    </row>
    <row r="41" spans="1:14" ht="13.5" customHeight="1" thickBot="1" x14ac:dyDescent="0.25">
      <c r="A41" s="1756" t="s">
        <v>676</v>
      </c>
      <c r="B41" s="1726"/>
      <c r="C41" s="1708">
        <f>(SUM(C34,C37,C38,C39))</f>
        <v>17999910</v>
      </c>
      <c r="D41" s="1708">
        <f t="shared" ref="D41:L41" si="2">SUM(D34,D37,D38:D39)</f>
        <v>15916076</v>
      </c>
      <c r="E41" s="1708">
        <f t="shared" si="2"/>
        <v>3589881</v>
      </c>
      <c r="F41" s="1708">
        <f t="shared" si="2"/>
        <v>5092850</v>
      </c>
      <c r="G41" s="1708">
        <f t="shared" si="2"/>
        <v>3127710</v>
      </c>
      <c r="H41" s="1708">
        <f t="shared" si="2"/>
        <v>0</v>
      </c>
      <c r="I41" s="1708">
        <f t="shared" si="2"/>
        <v>334533</v>
      </c>
      <c r="J41" s="1708">
        <f t="shared" si="2"/>
        <v>1024190</v>
      </c>
      <c r="K41" s="1708">
        <f t="shared" si="2"/>
        <v>395501</v>
      </c>
      <c r="L41" s="1708">
        <f t="shared" si="2"/>
        <v>408023</v>
      </c>
      <c r="M41" s="1708">
        <f>SUM(M40)</f>
        <v>54739336</v>
      </c>
      <c r="N41" s="1708">
        <f>SUM(N37)</f>
        <v>28809003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POSITION AS OF JUNE 30, 2018&amp;R&amp;8Page &amp;P</oddHeader>
    <oddFooter xml:space="preserve">&amp;CSee accompanying notes to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Layout" colorId="8" zoomScaleNormal="110" zoomScaleSheetLayoutView="100" workbookViewId="0">
      <pane ySplit="3945"/>
      <selection activeCell="A47" sqref="A47"/>
      <selection pane="bottomLeft" activeCell="F7" sqref="F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9" t="s">
        <v>1237</v>
      </c>
      <c r="B3" s="2180"/>
      <c r="C3" s="1593"/>
      <c r="D3" s="1594"/>
      <c r="E3" s="1594"/>
      <c r="F3" s="1594"/>
      <c r="G3" s="1594"/>
      <c r="H3" s="1594"/>
      <c r="I3" s="1594"/>
      <c r="J3" s="1594"/>
      <c r="K3" s="1595"/>
      <c r="L3" s="506"/>
    </row>
    <row r="4" spans="1:13" ht="15.75" customHeight="1" x14ac:dyDescent="0.2">
      <c r="A4" s="1952" t="s">
        <v>1579</v>
      </c>
      <c r="B4" s="1953">
        <v>1000</v>
      </c>
      <c r="C4" s="1762">
        <f>'Revenues 9-14'!C109</f>
        <v>14091185</v>
      </c>
      <c r="D4" s="1762">
        <f>'Revenues 9-14'!D109</f>
        <v>3648368</v>
      </c>
      <c r="E4" s="1762">
        <f>'Revenues 9-14'!E109</f>
        <v>2611691</v>
      </c>
      <c r="F4" s="1762">
        <f>'Revenues 9-14'!F109</f>
        <v>2249345</v>
      </c>
      <c r="G4" s="1762">
        <f>'Revenues 9-14'!G109</f>
        <v>1834361</v>
      </c>
      <c r="H4" s="1762">
        <f>'Revenues 9-14'!H109</f>
        <v>0</v>
      </c>
      <c r="I4" s="1762">
        <f>'Revenues 9-14'!I109</f>
        <v>129388</v>
      </c>
      <c r="J4" s="1762">
        <f>'Revenues 9-14'!J109</f>
        <v>720601</v>
      </c>
      <c r="K4" s="1762">
        <f>'Revenues 9-14'!K109</f>
        <v>150585</v>
      </c>
      <c r="L4" s="347"/>
    </row>
    <row r="5" spans="1:13" ht="15.75" customHeight="1" x14ac:dyDescent="0.2">
      <c r="A5" s="1596" t="s">
        <v>1580</v>
      </c>
      <c r="B5" s="1597">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6" t="s">
        <v>1581</v>
      </c>
      <c r="B6" s="1598">
        <v>3000</v>
      </c>
      <c r="C6" s="1763">
        <f>'Revenues 9-14'!C173</f>
        <v>20668991</v>
      </c>
      <c r="D6" s="1763">
        <f>'Revenues 9-14'!D173</f>
        <v>650000</v>
      </c>
      <c r="E6" s="1763">
        <f>'Revenues 9-14'!E173</f>
        <v>0</v>
      </c>
      <c r="F6" s="1763">
        <f>'Revenues 9-14'!F173</f>
        <v>1238306</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1582</v>
      </c>
      <c r="B7" s="1598">
        <v>4000</v>
      </c>
      <c r="C7" s="1763">
        <f>'Revenues 9-14'!C274</f>
        <v>5875846</v>
      </c>
      <c r="D7" s="1763">
        <f>'Revenues 9-14'!D274</f>
        <v>0</v>
      </c>
      <c r="E7" s="1763">
        <f>'Revenues 9-14'!E274</f>
        <v>0</v>
      </c>
      <c r="F7" s="1763">
        <f>'Revenues 9-14'!F274</f>
        <v>40000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40636022</v>
      </c>
      <c r="D8" s="1708">
        <f t="shared" ref="D8:K8" si="0">SUM(D4:D7)</f>
        <v>4298368</v>
      </c>
      <c r="E8" s="1708">
        <f t="shared" si="0"/>
        <v>2611691</v>
      </c>
      <c r="F8" s="1708">
        <f t="shared" si="0"/>
        <v>3527651</v>
      </c>
      <c r="G8" s="1708">
        <f t="shared" si="0"/>
        <v>1834361</v>
      </c>
      <c r="H8" s="1708">
        <f t="shared" si="0"/>
        <v>0</v>
      </c>
      <c r="I8" s="1708">
        <f t="shared" si="0"/>
        <v>129388</v>
      </c>
      <c r="J8" s="1708">
        <f t="shared" si="0"/>
        <v>720601</v>
      </c>
      <c r="K8" s="1708">
        <f t="shared" si="0"/>
        <v>150585</v>
      </c>
      <c r="L8" s="347"/>
    </row>
    <row r="9" spans="1:13" ht="15.75" thickTop="1" x14ac:dyDescent="0.2">
      <c r="A9" s="514" t="s">
        <v>1752</v>
      </c>
      <c r="B9" s="515">
        <v>3998</v>
      </c>
      <c r="C9" s="481">
        <v>15798516</v>
      </c>
      <c r="D9" s="516"/>
      <c r="E9" s="481"/>
      <c r="F9" s="481"/>
      <c r="G9" s="517"/>
      <c r="H9" s="481"/>
      <c r="I9" s="509" t="s">
        <v>1231</v>
      </c>
      <c r="J9" s="478"/>
      <c r="K9" s="481"/>
      <c r="L9" s="347"/>
    </row>
    <row r="10" spans="1:13" s="519" customFormat="1" ht="13.5" thickBot="1" x14ac:dyDescent="0.25">
      <c r="A10" s="1756" t="s">
        <v>1235</v>
      </c>
      <c r="B10" s="1729"/>
      <c r="C10" s="1708">
        <f>SUM(C8:C9)</f>
        <v>56434538</v>
      </c>
      <c r="D10" s="1708">
        <f t="shared" ref="D10:K10" si="1">SUM(D8:D9)</f>
        <v>4298368</v>
      </c>
      <c r="E10" s="1708">
        <f t="shared" si="1"/>
        <v>2611691</v>
      </c>
      <c r="F10" s="1708">
        <f t="shared" si="1"/>
        <v>3527651</v>
      </c>
      <c r="G10" s="1708">
        <f t="shared" si="1"/>
        <v>1834361</v>
      </c>
      <c r="H10" s="1708">
        <f t="shared" si="1"/>
        <v>0</v>
      </c>
      <c r="I10" s="1708">
        <f t="shared" si="1"/>
        <v>129388</v>
      </c>
      <c r="J10" s="1708">
        <f t="shared" si="1"/>
        <v>720601</v>
      </c>
      <c r="K10" s="1708">
        <f t="shared" si="1"/>
        <v>150585</v>
      </c>
      <c r="L10" s="518"/>
    </row>
    <row r="11" spans="1:13" s="519" customFormat="1" ht="16.7" customHeight="1" thickTop="1" x14ac:dyDescent="0.2">
      <c r="A11" s="2153" t="s">
        <v>1238</v>
      </c>
      <c r="B11" s="2154"/>
      <c r="C11" s="1590"/>
      <c r="D11" s="1591"/>
      <c r="E11" s="1591"/>
      <c r="F11" s="1591"/>
      <c r="G11" s="1591"/>
      <c r="H11" s="1591"/>
      <c r="I11" s="1591"/>
      <c r="J11" s="1591"/>
      <c r="K11" s="1592"/>
      <c r="L11" s="518"/>
    </row>
    <row r="12" spans="1:13" ht="15.75" customHeight="1" x14ac:dyDescent="0.2">
      <c r="A12" s="1596" t="s">
        <v>476</v>
      </c>
      <c r="B12" s="1598">
        <v>1000</v>
      </c>
      <c r="C12" s="1762">
        <f>'Expenditures 15-22'!K33</f>
        <v>23999209</v>
      </c>
      <c r="D12" s="520" t="s">
        <v>1231</v>
      </c>
      <c r="E12" s="468" t="s">
        <v>1231</v>
      </c>
      <c r="F12" s="468" t="s">
        <v>1231</v>
      </c>
      <c r="G12" s="1762">
        <f>'Expenditures 15-22'!K229</f>
        <v>451850</v>
      </c>
      <c r="H12" s="521"/>
      <c r="I12" s="468" t="s">
        <v>1231</v>
      </c>
      <c r="J12" s="468" t="s">
        <v>1231</v>
      </c>
      <c r="K12" s="521" t="s">
        <v>1231</v>
      </c>
      <c r="L12" s="347"/>
    </row>
    <row r="13" spans="1:13" ht="15.75" customHeight="1" x14ac:dyDescent="0.2">
      <c r="A13" s="1596" t="s">
        <v>477</v>
      </c>
      <c r="B13" s="1598">
        <v>2000</v>
      </c>
      <c r="C13" s="1763">
        <f>'Expenditures 15-22'!K74</f>
        <v>15513007</v>
      </c>
      <c r="D13" s="1763">
        <f>'Expenditures 15-22'!K129</f>
        <v>4076013</v>
      </c>
      <c r="E13" s="469" t="s">
        <v>1231</v>
      </c>
      <c r="F13" s="1763">
        <f>'Expenditures 15-22'!K184</f>
        <v>3295895</v>
      </c>
      <c r="G13" s="1763">
        <f>'Expenditures 15-22'!K279</f>
        <v>1008917</v>
      </c>
      <c r="H13" s="1763">
        <f>'Expenditures 15-22'!K303</f>
        <v>0</v>
      </c>
      <c r="I13" s="468" t="s">
        <v>1231</v>
      </c>
      <c r="J13" s="1763">
        <f>'Expenditures 15-22'!K330</f>
        <v>572261</v>
      </c>
      <c r="K13" s="1767">
        <f>'Expenditures 15-22'!K352</f>
        <v>114364</v>
      </c>
      <c r="L13" s="347"/>
    </row>
    <row r="14" spans="1:13" ht="15.75" customHeight="1" x14ac:dyDescent="0.2">
      <c r="A14" s="1596" t="s">
        <v>469</v>
      </c>
      <c r="B14" s="1598">
        <v>3000</v>
      </c>
      <c r="C14" s="1763">
        <f>'Expenditures 15-22'!K75</f>
        <v>132879</v>
      </c>
      <c r="D14" s="1763">
        <f>'Expenditures 15-22'!K130</f>
        <v>0</v>
      </c>
      <c r="E14" s="520" t="s">
        <v>1231</v>
      </c>
      <c r="F14" s="1763">
        <f>'Expenditures 15-22'!K185</f>
        <v>0</v>
      </c>
      <c r="G14" s="1763">
        <f>'Expenditures 15-22'!K280</f>
        <v>981</v>
      </c>
      <c r="H14" s="512"/>
      <c r="I14" s="468" t="s">
        <v>1231</v>
      </c>
      <c r="J14" s="468" t="s">
        <v>1231</v>
      </c>
      <c r="K14" s="512" t="s">
        <v>1231</v>
      </c>
      <c r="L14" s="347"/>
    </row>
    <row r="15" spans="1:13" ht="15.75" customHeight="1" x14ac:dyDescent="0.2">
      <c r="A15" s="1596" t="s">
        <v>109</v>
      </c>
      <c r="B15" s="1598">
        <v>4000</v>
      </c>
      <c r="C15" s="1763">
        <f>'Expenditures 15-22'!K102</f>
        <v>677235</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2871771</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40322330</v>
      </c>
      <c r="D17" s="1708">
        <f t="shared" si="2"/>
        <v>4076013</v>
      </c>
      <c r="E17" s="1708">
        <f t="shared" si="2"/>
        <v>2871771</v>
      </c>
      <c r="F17" s="1708">
        <f t="shared" si="2"/>
        <v>3295895</v>
      </c>
      <c r="G17" s="1708">
        <f t="shared" si="2"/>
        <v>1461748</v>
      </c>
      <c r="H17" s="1708">
        <f t="shared" si="2"/>
        <v>0</v>
      </c>
      <c r="I17" s="468"/>
      <c r="J17" s="1708">
        <f>SUM(J12:J16)</f>
        <v>572261</v>
      </c>
      <c r="K17" s="1708">
        <f>SUM(K12:K16)</f>
        <v>114364</v>
      </c>
      <c r="L17" s="347"/>
    </row>
    <row r="18" spans="1:12" ht="15" customHeight="1" thickTop="1" x14ac:dyDescent="0.2">
      <c r="A18" s="1764" t="s">
        <v>1753</v>
      </c>
      <c r="B18" s="1765">
        <v>4180</v>
      </c>
      <c r="C18" s="1762">
        <f t="shared" ref="C18:H18" si="3">C9</f>
        <v>15798516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56120846</v>
      </c>
      <c r="D19" s="1708">
        <f t="shared" si="4"/>
        <v>4076013</v>
      </c>
      <c r="E19" s="1708">
        <f t="shared" si="4"/>
        <v>2871771</v>
      </c>
      <c r="F19" s="1708">
        <f t="shared" si="4"/>
        <v>3295895</v>
      </c>
      <c r="G19" s="1708">
        <f t="shared" si="4"/>
        <v>1461748</v>
      </c>
      <c r="H19" s="1708">
        <f t="shared" si="4"/>
        <v>0</v>
      </c>
      <c r="I19" s="468"/>
      <c r="J19" s="1708">
        <f>SUM(J17:J18)</f>
        <v>572261</v>
      </c>
      <c r="K19" s="1708">
        <f>SUM(K17:K18)</f>
        <v>114364</v>
      </c>
      <c r="L19" s="347"/>
    </row>
    <row r="20" spans="1:12" ht="16.5" thickTop="1" thickBot="1" x14ac:dyDescent="0.25">
      <c r="A20" s="2169" t="s">
        <v>1754</v>
      </c>
      <c r="B20" s="2170"/>
      <c r="C20" s="1766">
        <f>C8-C17</f>
        <v>313692</v>
      </c>
      <c r="D20" s="1766">
        <f t="shared" ref="D20:K20" si="5">D8-D17</f>
        <v>222355</v>
      </c>
      <c r="E20" s="1766">
        <f t="shared" si="5"/>
        <v>-260080</v>
      </c>
      <c r="F20" s="1766">
        <f t="shared" si="5"/>
        <v>231756</v>
      </c>
      <c r="G20" s="1766">
        <f t="shared" si="5"/>
        <v>372613</v>
      </c>
      <c r="H20" s="1766">
        <f t="shared" si="5"/>
        <v>0</v>
      </c>
      <c r="I20" s="1766">
        <f t="shared" si="5"/>
        <v>129388</v>
      </c>
      <c r="J20" s="1766">
        <f t="shared" si="5"/>
        <v>148340</v>
      </c>
      <c r="K20" s="1766">
        <f t="shared" si="5"/>
        <v>36221</v>
      </c>
      <c r="L20" s="347"/>
    </row>
    <row r="21" spans="1:12" ht="16.7" customHeight="1" thickTop="1" x14ac:dyDescent="0.2">
      <c r="A21" s="2181" t="s">
        <v>616</v>
      </c>
      <c r="B21" s="2182"/>
      <c r="C21" s="1590"/>
      <c r="D21" s="1591"/>
      <c r="E21" s="1591"/>
      <c r="F21" s="1591"/>
      <c r="G21" s="1591"/>
      <c r="H21" s="1591"/>
      <c r="I21" s="1591"/>
      <c r="J21" s="1591"/>
      <c r="K21" s="1592"/>
      <c r="L21" s="524"/>
    </row>
    <row r="22" spans="1:12" ht="15.75" customHeight="1" collapsed="1" x14ac:dyDescent="0.2">
      <c r="A22" s="2177" t="s">
        <v>617</v>
      </c>
      <c r="B22" s="2178"/>
      <c r="C22" s="477"/>
      <c r="D22" s="477"/>
      <c r="E22" s="477"/>
      <c r="F22" s="477"/>
      <c r="G22" s="477"/>
      <c r="H22" s="477"/>
      <c r="I22" s="477"/>
      <c r="J22" s="477"/>
      <c r="K22" s="477"/>
      <c r="L22" s="347"/>
    </row>
    <row r="23" spans="1:12" s="485" customFormat="1" ht="15.75" customHeight="1" x14ac:dyDescent="0.2">
      <c r="A23" s="2173" t="s">
        <v>311</v>
      </c>
      <c r="B23" s="2174"/>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v>5646564</v>
      </c>
      <c r="D25" s="467">
        <v>11400000</v>
      </c>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1465</v>
      </c>
      <c r="B28" s="483">
        <v>7140</v>
      </c>
      <c r="C28" s="467">
        <v>2382</v>
      </c>
      <c r="D28" s="467"/>
      <c r="E28" s="467"/>
      <c r="F28" s="467"/>
      <c r="G28" s="467"/>
      <c r="H28" s="467"/>
      <c r="I28" s="467"/>
      <c r="J28" s="467"/>
      <c r="K28" s="467"/>
      <c r="L28" s="524"/>
    </row>
    <row r="29" spans="1:12" s="485" customFormat="1" ht="13.5" customHeight="1" x14ac:dyDescent="0.2">
      <c r="A29" s="1509" t="s">
        <v>312</v>
      </c>
      <c r="B29" s="483">
        <v>7150</v>
      </c>
      <c r="C29" s="475"/>
      <c r="D29" s="467"/>
      <c r="E29" s="475"/>
      <c r="F29" s="475"/>
      <c r="G29" s="475"/>
      <c r="H29" s="475"/>
      <c r="I29" s="475"/>
      <c r="J29" s="475"/>
      <c r="K29" s="475"/>
      <c r="L29" s="524"/>
    </row>
    <row r="30" spans="1:12" s="485" customFormat="1" ht="26.25" x14ac:dyDescent="0.2">
      <c r="A30" s="1509" t="s">
        <v>1895</v>
      </c>
      <c r="B30" s="527">
        <v>7160</v>
      </c>
      <c r="C30" s="477"/>
      <c r="D30" s="467"/>
      <c r="E30" s="477"/>
      <c r="F30" s="477"/>
      <c r="G30" s="477"/>
      <c r="H30" s="477"/>
      <c r="I30" s="477"/>
      <c r="J30" s="477"/>
      <c r="K30" s="477"/>
      <c r="L30" s="524"/>
    </row>
    <row r="31" spans="1:12" s="485" customFormat="1" ht="26.25" x14ac:dyDescent="0.2">
      <c r="A31" s="1509" t="s">
        <v>1899</v>
      </c>
      <c r="B31" s="527">
        <v>7170</v>
      </c>
      <c r="C31" s="477"/>
      <c r="D31" s="477"/>
      <c r="E31" s="474"/>
      <c r="F31" s="477"/>
      <c r="G31" s="477"/>
      <c r="H31" s="477"/>
      <c r="I31" s="477"/>
      <c r="J31" s="477"/>
      <c r="K31" s="477"/>
      <c r="L31" s="524"/>
    </row>
    <row r="32" spans="1:12" s="485" customFormat="1" ht="15.75" customHeight="1" x14ac:dyDescent="0.2">
      <c r="A32" s="2175" t="s">
        <v>1038</v>
      </c>
      <c r="B32" s="2176"/>
      <c r="C32" s="477"/>
      <c r="D32" s="477"/>
      <c r="E32" s="475"/>
      <c r="F32" s="477"/>
      <c r="G32" s="477"/>
      <c r="H32" s="477"/>
      <c r="I32" s="477"/>
      <c r="J32" s="477"/>
      <c r="K32" s="477"/>
      <c r="L32" s="524"/>
    </row>
    <row r="33" spans="1:12" s="485" customFormat="1" x14ac:dyDescent="0.2">
      <c r="A33" s="1509" t="s">
        <v>432</v>
      </c>
      <c r="B33" s="525">
        <v>7210</v>
      </c>
      <c r="C33" s="467"/>
      <c r="D33" s="467"/>
      <c r="E33" s="467"/>
      <c r="F33" s="467"/>
      <c r="G33" s="477"/>
      <c r="H33" s="467"/>
      <c r="I33" s="467">
        <v>17810000</v>
      </c>
      <c r="J33" s="467"/>
      <c r="K33" s="467"/>
      <c r="L33" s="524"/>
    </row>
    <row r="34" spans="1:12" s="485" customFormat="1" x14ac:dyDescent="0.2">
      <c r="A34" s="1509" t="s">
        <v>1058</v>
      </c>
      <c r="B34" s="525">
        <v>7220</v>
      </c>
      <c r="C34" s="467"/>
      <c r="D34" s="467"/>
      <c r="E34" s="467"/>
      <c r="F34" s="467"/>
      <c r="G34" s="477"/>
      <c r="H34" s="478"/>
      <c r="I34" s="478">
        <v>1021626</v>
      </c>
      <c r="J34" s="478"/>
      <c r="K34" s="478"/>
      <c r="L34" s="524"/>
    </row>
    <row r="35" spans="1:12" s="485" customFormat="1" x14ac:dyDescent="0.2">
      <c r="A35" s="1509" t="s">
        <v>1047</v>
      </c>
      <c r="B35" s="525">
        <v>7230</v>
      </c>
      <c r="C35" s="467"/>
      <c r="D35" s="467"/>
      <c r="E35" s="467"/>
      <c r="F35" s="467"/>
      <c r="G35" s="480"/>
      <c r="H35" s="467"/>
      <c r="I35" s="467"/>
      <c r="J35" s="467"/>
      <c r="K35" s="467"/>
      <c r="L35" s="524"/>
    </row>
    <row r="36" spans="1:12" s="485" customFormat="1" ht="15" x14ac:dyDescent="0.2">
      <c r="A36" s="1509" t="s">
        <v>1757</v>
      </c>
      <c r="B36" s="525">
        <v>7300</v>
      </c>
      <c r="C36" s="467">
        <v>12351</v>
      </c>
      <c r="D36" s="467"/>
      <c r="E36" s="467"/>
      <c r="F36" s="467"/>
      <c r="G36" s="467"/>
      <c r="H36" s="467"/>
      <c r="I36" s="475"/>
      <c r="J36" s="467"/>
      <c r="K36" s="467"/>
      <c r="L36" s="524"/>
    </row>
    <row r="37" spans="1:12" s="485" customFormat="1" x14ac:dyDescent="0.2">
      <c r="A37" s="1509" t="s">
        <v>461</v>
      </c>
      <c r="B37" s="525">
        <v>7400</v>
      </c>
      <c r="C37" s="475"/>
      <c r="D37" s="475"/>
      <c r="E37" s="1763">
        <f>SUM(C54:D57,H54:H57)</f>
        <v>0</v>
      </c>
      <c r="F37" s="475"/>
      <c r="G37" s="475"/>
      <c r="H37" s="475"/>
      <c r="I37" s="477"/>
      <c r="J37" s="475"/>
      <c r="K37" s="475"/>
      <c r="L37" s="524"/>
    </row>
    <row r="38" spans="1:12" s="485" customFormat="1" x14ac:dyDescent="0.2">
      <c r="A38" s="1509" t="s">
        <v>462</v>
      </c>
      <c r="B38" s="525">
        <v>7500</v>
      </c>
      <c r="C38" s="477"/>
      <c r="D38" s="477"/>
      <c r="E38" s="1763">
        <f>SUM(C58:D61,H58:H61)</f>
        <v>0</v>
      </c>
      <c r="F38" s="477"/>
      <c r="G38" s="477"/>
      <c r="H38" s="477"/>
      <c r="I38" s="477"/>
      <c r="J38" s="477"/>
      <c r="K38" s="477"/>
      <c r="L38" s="524"/>
    </row>
    <row r="39" spans="1:12" s="485" customFormat="1" x14ac:dyDescent="0.2">
      <c r="A39" s="1509" t="s">
        <v>463</v>
      </c>
      <c r="B39" s="525">
        <v>7600</v>
      </c>
      <c r="C39" s="477"/>
      <c r="D39" s="477"/>
      <c r="E39" s="1763">
        <f>SUM(C62:D65)</f>
        <v>0</v>
      </c>
      <c r="F39" s="477"/>
      <c r="G39" s="477"/>
      <c r="H39" s="477"/>
      <c r="I39" s="477"/>
      <c r="J39" s="477"/>
      <c r="K39" s="477"/>
      <c r="L39" s="524"/>
    </row>
    <row r="40" spans="1:12" s="485" customFormat="1" ht="13.5" customHeight="1" x14ac:dyDescent="0.2">
      <c r="A40" s="1509" t="s">
        <v>663</v>
      </c>
      <c r="B40" s="483">
        <v>7700</v>
      </c>
      <c r="C40" s="477"/>
      <c r="D40" s="477"/>
      <c r="E40" s="1763">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3">
        <f>SUM(C70:D73)</f>
        <v>0</v>
      </c>
      <c r="I41" s="477"/>
      <c r="J41" s="477"/>
      <c r="K41" s="480"/>
      <c r="L41" s="524"/>
    </row>
    <row r="42" spans="1:12" s="485" customFormat="1" ht="13.5" customHeight="1" x14ac:dyDescent="0.2">
      <c r="A42" s="1509" t="s">
        <v>662</v>
      </c>
      <c r="B42" s="483">
        <v>7900</v>
      </c>
      <c r="C42" s="467"/>
      <c r="D42" s="467"/>
      <c r="E42" s="467"/>
      <c r="F42" s="467"/>
      <c r="G42" s="467"/>
      <c r="H42" s="467"/>
      <c r="I42" s="480"/>
      <c r="J42" s="480"/>
      <c r="K42" s="467"/>
      <c r="L42" s="524"/>
    </row>
    <row r="43" spans="1:12" s="485" customFormat="1" ht="13.5" customHeight="1" x14ac:dyDescent="0.2">
      <c r="A43" s="1509" t="s">
        <v>391</v>
      </c>
      <c r="B43" s="483">
        <v>7990</v>
      </c>
      <c r="C43" s="467"/>
      <c r="D43" s="467"/>
      <c r="E43" s="467"/>
      <c r="F43" s="467"/>
      <c r="G43" s="467"/>
      <c r="H43" s="467"/>
      <c r="I43" s="467"/>
      <c r="J43" s="467"/>
      <c r="K43" s="467"/>
      <c r="L43" s="524"/>
    </row>
    <row r="44" spans="1:12" s="485" customFormat="1" ht="13.5" customHeight="1" thickBot="1" x14ac:dyDescent="0.25">
      <c r="A44" s="2183" t="s">
        <v>392</v>
      </c>
      <c r="B44" s="2184"/>
      <c r="C44" s="1723">
        <f>SUM(C24:C43)</f>
        <v>5661297</v>
      </c>
      <c r="D44" s="1723">
        <f t="shared" ref="D44:K44" si="6">SUM(D24:D43)</f>
        <v>11400000</v>
      </c>
      <c r="E44" s="1723">
        <f t="shared" si="6"/>
        <v>0</v>
      </c>
      <c r="F44" s="1723">
        <f t="shared" si="6"/>
        <v>0</v>
      </c>
      <c r="G44" s="1723">
        <f t="shared" si="6"/>
        <v>0</v>
      </c>
      <c r="H44" s="1723">
        <f t="shared" si="6"/>
        <v>0</v>
      </c>
      <c r="I44" s="1723">
        <f t="shared" si="6"/>
        <v>18831626</v>
      </c>
      <c r="J44" s="1723">
        <f t="shared" si="6"/>
        <v>0</v>
      </c>
      <c r="K44" s="1723">
        <f t="shared" si="6"/>
        <v>0</v>
      </c>
      <c r="L44" s="524"/>
    </row>
    <row r="45" spans="1:12" ht="15.75" customHeight="1" thickTop="1" x14ac:dyDescent="0.2">
      <c r="A45" s="2177" t="s">
        <v>110</v>
      </c>
      <c r="B45" s="2178"/>
      <c r="C45" s="528"/>
      <c r="D45" s="528"/>
      <c r="E45" s="528"/>
      <c r="F45" s="528"/>
      <c r="G45" s="528"/>
      <c r="H45" s="528"/>
      <c r="I45" s="528"/>
      <c r="J45" s="528"/>
      <c r="K45" s="528"/>
      <c r="L45" s="347"/>
    </row>
    <row r="46" spans="1:12" s="485" customFormat="1" ht="15.75" customHeight="1" x14ac:dyDescent="0.2">
      <c r="A46" s="2185" t="s">
        <v>111</v>
      </c>
      <c r="B46" s="2186"/>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3">
        <f>SUM(C24,C25:H25,J25:K25)</f>
        <v>17046564</v>
      </c>
      <c r="J47" s="477"/>
      <c r="K47" s="477"/>
      <c r="L47" s="529"/>
    </row>
    <row r="48" spans="1:12" s="485" customFormat="1" ht="15" x14ac:dyDescent="0.2">
      <c r="A48" s="1510" t="s">
        <v>1759</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1465</v>
      </c>
      <c r="B50" s="483">
        <v>8140</v>
      </c>
      <c r="C50" s="467"/>
      <c r="D50" s="467"/>
      <c r="E50" s="467">
        <v>2382</v>
      </c>
      <c r="F50" s="467"/>
      <c r="G50" s="467"/>
      <c r="H50" s="467"/>
      <c r="I50" s="477"/>
      <c r="J50" s="467"/>
      <c r="K50" s="477"/>
      <c r="L50" s="524"/>
    </row>
    <row r="51" spans="1:12" s="485" customFormat="1" x14ac:dyDescent="0.2">
      <c r="A51" s="1510" t="s">
        <v>312</v>
      </c>
      <c r="B51" s="483">
        <v>8150</v>
      </c>
      <c r="C51" s="475"/>
      <c r="D51" s="475"/>
      <c r="E51" s="475"/>
      <c r="F51" s="475"/>
      <c r="G51" s="475"/>
      <c r="H51" s="1763">
        <f>SUM(D29)</f>
        <v>0</v>
      </c>
      <c r="I51" s="477"/>
      <c r="J51" s="475"/>
      <c r="K51" s="480"/>
      <c r="L51" s="524"/>
    </row>
    <row r="52" spans="1:12" s="485" customFormat="1" ht="26.25" x14ac:dyDescent="0.2">
      <c r="A52" s="1510" t="s">
        <v>1898</v>
      </c>
      <c r="B52" s="483">
        <v>8160</v>
      </c>
      <c r="C52" s="477"/>
      <c r="D52" s="477"/>
      <c r="E52" s="477"/>
      <c r="F52" s="477"/>
      <c r="G52" s="477"/>
      <c r="H52" s="477"/>
      <c r="I52" s="477"/>
      <c r="J52" s="477"/>
      <c r="K52" s="1763">
        <f>D30</f>
        <v>0</v>
      </c>
      <c r="L52" s="524"/>
    </row>
    <row r="53" spans="1:12" s="485" customFormat="1" ht="26.25" x14ac:dyDescent="0.2">
      <c r="A53" s="1510" t="s">
        <v>1897</v>
      </c>
      <c r="B53" s="483">
        <v>8170</v>
      </c>
      <c r="C53" s="480"/>
      <c r="D53" s="480"/>
      <c r="E53" s="477"/>
      <c r="F53" s="477"/>
      <c r="G53" s="477"/>
      <c r="H53" s="480"/>
      <c r="I53" s="477"/>
      <c r="J53" s="477"/>
      <c r="K53" s="1763">
        <f>E31</f>
        <v>0</v>
      </c>
      <c r="L53" s="524"/>
    </row>
    <row r="54" spans="1:12" s="485" customFormat="1" ht="13.5" thickBot="1" x14ac:dyDescent="0.25">
      <c r="A54" s="1510" t="s">
        <v>716</v>
      </c>
      <c r="B54" s="483">
        <v>8410</v>
      </c>
      <c r="C54" s="530"/>
      <c r="D54" s="530"/>
      <c r="E54" s="477"/>
      <c r="F54" s="477"/>
      <c r="G54" s="477"/>
      <c r="H54" s="530"/>
      <c r="I54" s="477"/>
      <c r="J54" s="477"/>
      <c r="K54" s="475"/>
      <c r="L54" s="524"/>
    </row>
    <row r="55" spans="1:12" s="485" customFormat="1" ht="14.25" thickTop="1" thickBot="1" x14ac:dyDescent="0.25">
      <c r="A55" s="1511" t="s">
        <v>717</v>
      </c>
      <c r="B55" s="483">
        <v>8420</v>
      </c>
      <c r="C55" s="531"/>
      <c r="D55" s="531"/>
      <c r="E55" s="477"/>
      <c r="F55" s="477"/>
      <c r="G55" s="477"/>
      <c r="H55" s="530"/>
      <c r="I55" s="477"/>
      <c r="J55" s="477"/>
      <c r="K55" s="477"/>
      <c r="L55" s="524"/>
    </row>
    <row r="56" spans="1:12" s="485" customFormat="1" ht="14.25" thickTop="1" thickBot="1" x14ac:dyDescent="0.25">
      <c r="A56" s="1510" t="s">
        <v>602</v>
      </c>
      <c r="B56" s="483">
        <v>8430</v>
      </c>
      <c r="C56" s="531"/>
      <c r="D56" s="531"/>
      <c r="E56" s="477"/>
      <c r="F56" s="477"/>
      <c r="G56" s="477"/>
      <c r="H56" s="530"/>
      <c r="I56" s="477"/>
      <c r="J56" s="477"/>
      <c r="K56" s="477"/>
      <c r="L56" s="524"/>
    </row>
    <row r="57" spans="1:12" s="485" customFormat="1" ht="14.25" thickTop="1" thickBot="1" x14ac:dyDescent="0.25">
      <c r="A57" s="1511" t="s">
        <v>599</v>
      </c>
      <c r="B57" s="483">
        <v>8440</v>
      </c>
      <c r="C57" s="531"/>
      <c r="D57" s="531"/>
      <c r="E57" s="477"/>
      <c r="F57" s="477"/>
      <c r="G57" s="477"/>
      <c r="H57" s="530"/>
      <c r="I57" s="477"/>
      <c r="J57" s="477"/>
      <c r="K57" s="477"/>
      <c r="L57" s="524"/>
    </row>
    <row r="58" spans="1:12" s="485" customFormat="1" ht="14.25" thickTop="1" thickBot="1" x14ac:dyDescent="0.25">
      <c r="A58" s="1510" t="s">
        <v>600</v>
      </c>
      <c r="B58" s="483">
        <v>8510</v>
      </c>
      <c r="C58" s="531"/>
      <c r="D58" s="531"/>
      <c r="E58" s="477"/>
      <c r="F58" s="477"/>
      <c r="G58" s="477"/>
      <c r="H58" s="530"/>
      <c r="I58" s="477"/>
      <c r="J58" s="477"/>
      <c r="K58" s="477"/>
      <c r="L58" s="524"/>
    </row>
    <row r="59" spans="1:12" s="485" customFormat="1" ht="14.25" thickTop="1" thickBot="1" x14ac:dyDescent="0.25">
      <c r="A59" s="1512" t="s">
        <v>718</v>
      </c>
      <c r="B59" s="483">
        <v>8520</v>
      </c>
      <c r="C59" s="531"/>
      <c r="D59" s="531"/>
      <c r="E59" s="477"/>
      <c r="F59" s="477"/>
      <c r="G59" s="477"/>
      <c r="H59" s="530"/>
      <c r="I59" s="477"/>
      <c r="J59" s="477"/>
      <c r="K59" s="477"/>
      <c r="L59" s="524"/>
    </row>
    <row r="60" spans="1:12" s="485" customFormat="1" ht="14.25" thickTop="1" thickBot="1" x14ac:dyDescent="0.25">
      <c r="A60" s="1510" t="s">
        <v>601</v>
      </c>
      <c r="B60" s="483">
        <v>8530</v>
      </c>
      <c r="C60" s="531"/>
      <c r="D60" s="531"/>
      <c r="E60" s="477"/>
      <c r="F60" s="477"/>
      <c r="G60" s="477"/>
      <c r="H60" s="530"/>
      <c r="I60" s="477"/>
      <c r="J60" s="477"/>
      <c r="K60" s="477"/>
      <c r="L60" s="524"/>
    </row>
    <row r="61" spans="1:12" s="485" customFormat="1" ht="14.25" thickTop="1" thickBot="1" x14ac:dyDescent="0.25">
      <c r="A61" s="1511" t="s">
        <v>767</v>
      </c>
      <c r="B61" s="483">
        <v>8540</v>
      </c>
      <c r="C61" s="531"/>
      <c r="D61" s="531"/>
      <c r="E61" s="477"/>
      <c r="F61" s="477"/>
      <c r="G61" s="477"/>
      <c r="H61" s="530"/>
      <c r="I61" s="477"/>
      <c r="J61" s="477"/>
      <c r="K61" s="477"/>
      <c r="L61" s="524"/>
    </row>
    <row r="62" spans="1:12" s="485" customFormat="1" ht="13.5" customHeight="1" thickTop="1" thickBot="1" x14ac:dyDescent="0.25">
      <c r="A62" s="1510" t="s">
        <v>768</v>
      </c>
      <c r="B62" s="483">
        <v>8610</v>
      </c>
      <c r="C62" s="531"/>
      <c r="D62" s="531"/>
      <c r="E62" s="477"/>
      <c r="F62" s="477"/>
      <c r="G62" s="477"/>
      <c r="H62" s="477"/>
      <c r="I62" s="477"/>
      <c r="J62" s="477"/>
      <c r="K62" s="477"/>
      <c r="L62" s="524"/>
    </row>
    <row r="63" spans="1:12" s="485" customFormat="1" ht="14.25" thickTop="1" thickBot="1" x14ac:dyDescent="0.25">
      <c r="A63" s="1511" t="s">
        <v>719</v>
      </c>
      <c r="B63" s="483">
        <v>8620</v>
      </c>
      <c r="C63" s="531"/>
      <c r="D63" s="531"/>
      <c r="E63" s="477"/>
      <c r="F63" s="477"/>
      <c r="G63" s="477"/>
      <c r="H63" s="477"/>
      <c r="I63" s="477"/>
      <c r="J63" s="477"/>
      <c r="K63" s="477"/>
      <c r="L63" s="524"/>
    </row>
    <row r="64" spans="1:12" s="485" customFormat="1" ht="13.5" customHeight="1" thickTop="1" thickBot="1" x14ac:dyDescent="0.25">
      <c r="A64" s="1510" t="s">
        <v>769</v>
      </c>
      <c r="B64" s="483">
        <v>8630</v>
      </c>
      <c r="C64" s="531"/>
      <c r="D64" s="531"/>
      <c r="E64" s="477"/>
      <c r="F64" s="477"/>
      <c r="G64" s="477"/>
      <c r="H64" s="477"/>
      <c r="I64" s="477"/>
      <c r="J64" s="477"/>
      <c r="K64" s="477"/>
      <c r="L64" s="524"/>
    </row>
    <row r="65" spans="1:12" s="485" customFormat="1" ht="14.25" thickTop="1" thickBot="1" x14ac:dyDescent="0.25">
      <c r="A65" s="1511" t="s">
        <v>770</v>
      </c>
      <c r="B65" s="483">
        <v>8640</v>
      </c>
      <c r="C65" s="531"/>
      <c r="D65" s="531"/>
      <c r="E65" s="477"/>
      <c r="F65" s="477"/>
      <c r="G65" s="477"/>
      <c r="H65" s="477"/>
      <c r="I65" s="477"/>
      <c r="J65" s="477"/>
      <c r="K65" s="477"/>
      <c r="L65" s="524"/>
    </row>
    <row r="66" spans="1:12" s="485" customFormat="1" ht="14.25" thickTop="1" thickBot="1" x14ac:dyDescent="0.25">
      <c r="A66" s="1510" t="s">
        <v>771</v>
      </c>
      <c r="B66" s="483">
        <v>8710</v>
      </c>
      <c r="C66" s="531"/>
      <c r="D66" s="531"/>
      <c r="E66" s="477"/>
      <c r="F66" s="477"/>
      <c r="G66" s="477"/>
      <c r="H66" s="477"/>
      <c r="I66" s="477"/>
      <c r="J66" s="477"/>
      <c r="K66" s="477"/>
      <c r="L66" s="524"/>
    </row>
    <row r="67" spans="1:12" s="485" customFormat="1" ht="14.25" thickTop="1" thickBot="1" x14ac:dyDescent="0.25">
      <c r="A67" s="1511" t="s">
        <v>720</v>
      </c>
      <c r="B67" s="483">
        <v>8720</v>
      </c>
      <c r="C67" s="531"/>
      <c r="D67" s="531"/>
      <c r="E67" s="477"/>
      <c r="F67" s="477"/>
      <c r="G67" s="477"/>
      <c r="H67" s="477"/>
      <c r="I67" s="477"/>
      <c r="J67" s="477"/>
      <c r="K67" s="477"/>
      <c r="L67" s="524"/>
    </row>
    <row r="68" spans="1:12" s="485" customFormat="1" ht="14.25" thickTop="1" thickBot="1" x14ac:dyDescent="0.25">
      <c r="A68" s="1512" t="s">
        <v>772</v>
      </c>
      <c r="B68" s="483">
        <v>8730</v>
      </c>
      <c r="C68" s="531"/>
      <c r="D68" s="531"/>
      <c r="E68" s="477"/>
      <c r="F68" s="477"/>
      <c r="G68" s="477"/>
      <c r="H68" s="477"/>
      <c r="I68" s="477"/>
      <c r="J68" s="477"/>
      <c r="K68" s="477"/>
      <c r="L68" s="524"/>
    </row>
    <row r="69" spans="1:12" s="485" customFormat="1" ht="14.25" thickTop="1" thickBot="1" x14ac:dyDescent="0.25">
      <c r="A69" s="1511" t="s">
        <v>773</v>
      </c>
      <c r="B69" s="483">
        <v>8740</v>
      </c>
      <c r="C69" s="531"/>
      <c r="D69" s="531"/>
      <c r="E69" s="477"/>
      <c r="F69" s="477"/>
      <c r="G69" s="477"/>
      <c r="H69" s="477"/>
      <c r="I69" s="477"/>
      <c r="J69" s="477"/>
      <c r="K69" s="477"/>
      <c r="L69" s="524"/>
    </row>
    <row r="70" spans="1:12" s="485" customFormat="1" ht="14.25" thickTop="1" thickBot="1" x14ac:dyDescent="0.25">
      <c r="A70" s="1510" t="s">
        <v>774</v>
      </c>
      <c r="B70" s="483">
        <v>8810</v>
      </c>
      <c r="C70" s="531"/>
      <c r="D70" s="531"/>
      <c r="E70" s="477"/>
      <c r="F70" s="477"/>
      <c r="G70" s="477"/>
      <c r="H70" s="477"/>
      <c r="I70" s="477"/>
      <c r="J70" s="477"/>
      <c r="K70" s="477"/>
      <c r="L70" s="524"/>
    </row>
    <row r="71" spans="1:12" s="485" customFormat="1" ht="14.25" thickTop="1" thickBot="1" x14ac:dyDescent="0.25">
      <c r="A71" s="1510" t="s">
        <v>778</v>
      </c>
      <c r="B71" s="483">
        <v>8820</v>
      </c>
      <c r="C71" s="531"/>
      <c r="D71" s="531"/>
      <c r="E71" s="477"/>
      <c r="F71" s="477"/>
      <c r="G71" s="477"/>
      <c r="H71" s="477"/>
      <c r="I71" s="477"/>
      <c r="J71" s="477"/>
      <c r="K71" s="477"/>
      <c r="L71" s="524"/>
    </row>
    <row r="72" spans="1:12" s="485" customFormat="1" ht="14.25" thickTop="1" thickBot="1" x14ac:dyDescent="0.25">
      <c r="A72" s="1510" t="s">
        <v>775</v>
      </c>
      <c r="B72" s="483">
        <v>8830</v>
      </c>
      <c r="C72" s="531"/>
      <c r="D72" s="531"/>
      <c r="E72" s="477"/>
      <c r="F72" s="477"/>
      <c r="G72" s="477"/>
      <c r="H72" s="477"/>
      <c r="I72" s="477"/>
      <c r="J72" s="477"/>
      <c r="K72" s="477"/>
      <c r="L72" s="524"/>
    </row>
    <row r="73" spans="1:12" s="485" customFormat="1" ht="14.25" thickTop="1" thickBot="1" x14ac:dyDescent="0.25">
      <c r="A73" s="1510" t="s">
        <v>776</v>
      </c>
      <c r="B73" s="483">
        <v>8840</v>
      </c>
      <c r="C73" s="531"/>
      <c r="D73" s="531"/>
      <c r="E73" s="477"/>
      <c r="F73" s="477"/>
      <c r="G73" s="477"/>
      <c r="H73" s="477"/>
      <c r="I73" s="477"/>
      <c r="J73" s="477"/>
      <c r="K73" s="480"/>
      <c r="L73" s="524"/>
    </row>
    <row r="74" spans="1:12" s="485" customFormat="1" ht="14.25" thickTop="1" thickBot="1" x14ac:dyDescent="0.25">
      <c r="A74" s="1510" t="s">
        <v>393</v>
      </c>
      <c r="B74" s="483">
        <v>8910</v>
      </c>
      <c r="C74" s="531"/>
      <c r="D74" s="531"/>
      <c r="E74" s="480"/>
      <c r="F74" s="530"/>
      <c r="G74" s="530"/>
      <c r="H74" s="530"/>
      <c r="I74" s="480"/>
      <c r="J74" s="480"/>
      <c r="K74" s="530"/>
      <c r="L74" s="524"/>
    </row>
    <row r="75" spans="1:12" s="485" customFormat="1" ht="14.25" thickTop="1" thickBot="1" x14ac:dyDescent="0.25">
      <c r="A75" s="1513" t="s">
        <v>459</v>
      </c>
      <c r="B75" s="483">
        <v>8990</v>
      </c>
      <c r="C75" s="531"/>
      <c r="D75" s="531"/>
      <c r="E75" s="530"/>
      <c r="F75" s="532"/>
      <c r="G75" s="532"/>
      <c r="H75" s="532"/>
      <c r="I75" s="530">
        <v>7335972</v>
      </c>
      <c r="J75" s="530"/>
      <c r="K75" s="532"/>
      <c r="L75" s="524"/>
    </row>
    <row r="76" spans="1:12" s="485" customFormat="1" ht="14.25" thickTop="1" thickBot="1" x14ac:dyDescent="0.25">
      <c r="A76" s="2159" t="s">
        <v>460</v>
      </c>
      <c r="B76" s="2160"/>
      <c r="C76" s="1723">
        <f t="shared" ref="C76:K76" si="7">SUM(C47:C75)</f>
        <v>0</v>
      </c>
      <c r="D76" s="1723">
        <f t="shared" si="7"/>
        <v>0</v>
      </c>
      <c r="E76" s="1723">
        <f t="shared" si="7"/>
        <v>2382</v>
      </c>
      <c r="F76" s="1723">
        <f t="shared" si="7"/>
        <v>0</v>
      </c>
      <c r="G76" s="1723">
        <f t="shared" si="7"/>
        <v>0</v>
      </c>
      <c r="H76" s="1723">
        <f t="shared" si="7"/>
        <v>0</v>
      </c>
      <c r="I76" s="1723">
        <f t="shared" si="7"/>
        <v>24382536</v>
      </c>
      <c r="J76" s="1723">
        <f t="shared" si="7"/>
        <v>0</v>
      </c>
      <c r="K76" s="1723">
        <f t="shared" si="7"/>
        <v>0</v>
      </c>
      <c r="L76" s="524"/>
    </row>
    <row r="77" spans="1:12" ht="14.25" thickTop="1" thickBot="1" x14ac:dyDescent="0.25">
      <c r="A77" s="2161" t="s">
        <v>1239</v>
      </c>
      <c r="B77" s="2162"/>
      <c r="C77" s="1723">
        <f t="shared" ref="C77:K77" si="8">C44-C76</f>
        <v>5661297</v>
      </c>
      <c r="D77" s="1723">
        <f t="shared" si="8"/>
        <v>11400000</v>
      </c>
      <c r="E77" s="1723">
        <f t="shared" si="8"/>
        <v>-2382</v>
      </c>
      <c r="F77" s="1723">
        <f t="shared" si="8"/>
        <v>0</v>
      </c>
      <c r="G77" s="1723">
        <f t="shared" si="8"/>
        <v>0</v>
      </c>
      <c r="H77" s="1723">
        <f t="shared" si="8"/>
        <v>0</v>
      </c>
      <c r="I77" s="1723">
        <f t="shared" si="8"/>
        <v>-5550910</v>
      </c>
      <c r="J77" s="1723">
        <f t="shared" si="8"/>
        <v>0</v>
      </c>
      <c r="K77" s="1723">
        <f t="shared" si="8"/>
        <v>0</v>
      </c>
      <c r="L77" s="347"/>
    </row>
    <row r="78" spans="1:12" ht="21.75" customHeight="1" thickTop="1" thickBot="1" x14ac:dyDescent="0.25">
      <c r="A78" s="2165" t="s">
        <v>618</v>
      </c>
      <c r="B78" s="2166"/>
      <c r="C78" s="1722">
        <f t="shared" ref="C78:K78" si="9">C20+C77</f>
        <v>5974989</v>
      </c>
      <c r="D78" s="1722">
        <f t="shared" si="9"/>
        <v>11622355</v>
      </c>
      <c r="E78" s="1722">
        <f t="shared" si="9"/>
        <v>-262462</v>
      </c>
      <c r="F78" s="1722">
        <f t="shared" si="9"/>
        <v>231756</v>
      </c>
      <c r="G78" s="1722">
        <f t="shared" si="9"/>
        <v>372613</v>
      </c>
      <c r="H78" s="1722">
        <f t="shared" si="9"/>
        <v>0</v>
      </c>
      <c r="I78" s="1722">
        <f t="shared" si="9"/>
        <v>-5421522</v>
      </c>
      <c r="J78" s="1722">
        <f t="shared" si="9"/>
        <v>148340</v>
      </c>
      <c r="K78" s="1722">
        <f t="shared" si="9"/>
        <v>36221</v>
      </c>
      <c r="L78" s="533"/>
    </row>
    <row r="79" spans="1:12" ht="13.5" thickTop="1" x14ac:dyDescent="0.2">
      <c r="A79" s="1514" t="s">
        <v>2071</v>
      </c>
      <c r="B79" s="534"/>
      <c r="C79" s="478">
        <v>-249374</v>
      </c>
      <c r="D79" s="535">
        <v>3044178</v>
      </c>
      <c r="E79" s="535">
        <v>2547272</v>
      </c>
      <c r="F79" s="535">
        <v>3865308</v>
      </c>
      <c r="G79" s="535">
        <v>1812106</v>
      </c>
      <c r="H79" s="535"/>
      <c r="I79" s="535">
        <v>5706047</v>
      </c>
      <c r="J79" s="535">
        <v>520847</v>
      </c>
      <c r="K79" s="535">
        <v>284268</v>
      </c>
      <c r="L79" s="347"/>
    </row>
    <row r="80" spans="1:12" x14ac:dyDescent="0.2">
      <c r="A80" s="2171" t="s">
        <v>1896</v>
      </c>
      <c r="B80" s="2172"/>
      <c r="C80" s="467"/>
      <c r="D80" s="467"/>
      <c r="E80" s="467"/>
      <c r="F80" s="467"/>
      <c r="G80" s="467"/>
      <c r="H80" s="467"/>
      <c r="I80" s="467"/>
      <c r="J80" s="467"/>
      <c r="K80" s="467"/>
      <c r="L80" s="347"/>
    </row>
    <row r="81" spans="1:12" ht="13.5" thickBot="1" x14ac:dyDescent="0.25">
      <c r="A81" s="2163" t="s">
        <v>2072</v>
      </c>
      <c r="B81" s="2164"/>
      <c r="C81" s="1708">
        <f>(SUM(C78:C80))</f>
        <v>5725615</v>
      </c>
      <c r="D81" s="1708">
        <f>SUM(D78:D80)</f>
        <v>14666533</v>
      </c>
      <c r="E81" s="1708">
        <f t="shared" ref="E81:K81" si="10">SUM(E78:E80)</f>
        <v>2284810</v>
      </c>
      <c r="F81" s="1708">
        <f t="shared" si="10"/>
        <v>4097064</v>
      </c>
      <c r="G81" s="1708">
        <f t="shared" si="10"/>
        <v>2184719</v>
      </c>
      <c r="H81" s="1708">
        <f t="shared" si="10"/>
        <v>0</v>
      </c>
      <c r="I81" s="1708">
        <f t="shared" si="10"/>
        <v>284525</v>
      </c>
      <c r="J81" s="1708">
        <f t="shared" si="10"/>
        <v>669187</v>
      </c>
      <c r="K81" s="1708">
        <f t="shared" si="10"/>
        <v>320489</v>
      </c>
      <c r="L81" s="347"/>
    </row>
    <row r="82" spans="1:12" ht="0.75" customHeight="1" thickTop="1" thickBot="1" x14ac:dyDescent="0.25">
      <c r="A82" s="536" t="s">
        <v>361</v>
      </c>
      <c r="B82" s="537"/>
      <c r="C82" s="538">
        <f>(C81-C79)</f>
        <v>5974989</v>
      </c>
      <c r="D82" s="538">
        <f t="shared" ref="D82:K82" si="11">(D81-D79)</f>
        <v>11622355</v>
      </c>
      <c r="E82" s="538">
        <f t="shared" si="11"/>
        <v>-262462</v>
      </c>
      <c r="F82" s="538">
        <f t="shared" si="11"/>
        <v>231756</v>
      </c>
      <c r="G82" s="538">
        <f t="shared" si="11"/>
        <v>372613</v>
      </c>
      <c r="H82" s="538">
        <f t="shared" si="11"/>
        <v>0</v>
      </c>
      <c r="I82" s="538">
        <f t="shared" si="11"/>
        <v>-5421522</v>
      </c>
      <c r="J82" s="538">
        <f t="shared" si="11"/>
        <v>148340</v>
      </c>
      <c r="K82" s="538">
        <f t="shared" si="11"/>
        <v>36221</v>
      </c>
    </row>
    <row r="83" spans="1:12" ht="14.25" hidden="1" thickTop="1" thickBot="1" x14ac:dyDescent="0.25">
      <c r="A83" s="539" t="s">
        <v>362</v>
      </c>
      <c r="B83" s="464"/>
      <c r="C83" s="540">
        <f>C82/C81</f>
        <v>1.0435540985553518</v>
      </c>
      <c r="D83" s="540">
        <f t="shared" ref="D83:K83" si="12">D82/D81</f>
        <v>0.79244051746926147</v>
      </c>
      <c r="E83" s="540">
        <f t="shared" si="12"/>
        <v>-0.11487257146108429</v>
      </c>
      <c r="F83" s="540">
        <f t="shared" si="12"/>
        <v>5.656636069146101E-2</v>
      </c>
      <c r="G83" s="540">
        <f t="shared" si="12"/>
        <v>0.17055419941878108</v>
      </c>
      <c r="H83" s="540" t="e">
        <f t="shared" si="12"/>
        <v>#DIV/0!</v>
      </c>
      <c r="I83" s="540">
        <f t="shared" si="12"/>
        <v>-19.054641947104823</v>
      </c>
      <c r="J83" s="540">
        <f t="shared" si="12"/>
        <v>0.22167196912073905</v>
      </c>
      <c r="K83" s="540">
        <f t="shared" si="12"/>
        <v>0.11301791949177663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EXPENDITURES,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1:L286"/>
  <sheetViews>
    <sheetView showGridLines="0" defaultGridColor="0" view="pageLayout" topLeftCell="A64" colorId="8" zoomScaleNormal="110" zoomScaleSheetLayoutView="75" workbookViewId="0">
      <selection activeCell="C81" sqref="C8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7" t="s">
        <v>1903</v>
      </c>
      <c r="B1" s="452"/>
      <c r="C1" s="453" t="s">
        <v>445</v>
      </c>
      <c r="D1" s="453" t="s">
        <v>446</v>
      </c>
      <c r="E1" s="453" t="s">
        <v>447</v>
      </c>
      <c r="F1" s="453" t="s">
        <v>448</v>
      </c>
      <c r="G1" s="453" t="s">
        <v>449</v>
      </c>
      <c r="H1" s="453" t="s">
        <v>450</v>
      </c>
      <c r="I1" s="453" t="s">
        <v>451</v>
      </c>
      <c r="J1" s="453" t="s">
        <v>452</v>
      </c>
      <c r="K1" s="453" t="s">
        <v>780</v>
      </c>
    </row>
    <row r="2" spans="1:12" ht="36" x14ac:dyDescent="0.2">
      <c r="A2" s="216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11598766</v>
      </c>
      <c r="D5" s="481">
        <v>2178739</v>
      </c>
      <c r="E5" s="466">
        <v>2597609</v>
      </c>
      <c r="F5" s="548">
        <v>1592893</v>
      </c>
      <c r="G5" s="466">
        <v>741456</v>
      </c>
      <c r="H5" s="466"/>
      <c r="I5" s="466">
        <v>99537</v>
      </c>
      <c r="J5" s="467">
        <v>716553</v>
      </c>
      <c r="K5" s="466">
        <v>149324</v>
      </c>
    </row>
    <row r="6" spans="1:12" ht="15" x14ac:dyDescent="0.2">
      <c r="A6" s="463" t="s">
        <v>1761</v>
      </c>
      <c r="B6" s="470">
        <v>1130</v>
      </c>
      <c r="C6" s="466">
        <v>149324</v>
      </c>
      <c r="D6" s="466"/>
      <c r="E6" s="475"/>
      <c r="F6" s="475"/>
      <c r="G6" s="468"/>
      <c r="H6" s="468"/>
      <c r="I6" s="468"/>
      <c r="J6" s="468"/>
      <c r="K6" s="468"/>
    </row>
    <row r="7" spans="1:12" x14ac:dyDescent="0.2">
      <c r="A7" s="463" t="s">
        <v>112</v>
      </c>
      <c r="B7" s="549">
        <v>1140</v>
      </c>
      <c r="C7" s="466">
        <v>2074724</v>
      </c>
      <c r="D7" s="466"/>
      <c r="E7" s="468"/>
      <c r="F7" s="467"/>
      <c r="G7" s="467"/>
      <c r="H7" s="467"/>
      <c r="I7" s="468"/>
      <c r="J7" s="468"/>
      <c r="K7" s="468"/>
    </row>
    <row r="8" spans="1:12" x14ac:dyDescent="0.2">
      <c r="A8" s="463" t="s">
        <v>433</v>
      </c>
      <c r="B8" s="470">
        <v>1150</v>
      </c>
      <c r="C8" s="475"/>
      <c r="D8" s="475"/>
      <c r="E8" s="477"/>
      <c r="F8" s="477"/>
      <c r="G8" s="481">
        <v>985310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13822814</v>
      </c>
      <c r="D12" s="1727">
        <f t="shared" si="0"/>
        <v>2178739</v>
      </c>
      <c r="E12" s="1727">
        <f t="shared" si="0"/>
        <v>2597609</v>
      </c>
      <c r="F12" s="1727">
        <f t="shared" si="0"/>
        <v>1592893</v>
      </c>
      <c r="G12" s="1727">
        <f t="shared" si="0"/>
        <v>1726766</v>
      </c>
      <c r="H12" s="1727">
        <f t="shared" si="0"/>
        <v>0</v>
      </c>
      <c r="I12" s="1727">
        <f t="shared" si="0"/>
        <v>99537</v>
      </c>
      <c r="J12" s="1727">
        <f t="shared" si="0"/>
        <v>716553</v>
      </c>
      <c r="K12" s="1708">
        <f t="shared" si="0"/>
        <v>149324</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26629</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1407442</v>
      </c>
      <c r="E16" s="466"/>
      <c r="F16" s="466"/>
      <c r="G16" s="466">
        <v>96083</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26629</v>
      </c>
      <c r="D18" s="1730">
        <f t="shared" ref="D18:K18" si="1">SUM(D14:D17)</f>
        <v>1407442</v>
      </c>
      <c r="E18" s="1730">
        <f t="shared" si="1"/>
        <v>0</v>
      </c>
      <c r="F18" s="1730">
        <f t="shared" si="1"/>
        <v>0</v>
      </c>
      <c r="G18" s="1730">
        <f t="shared" si="1"/>
        <v>96083</v>
      </c>
      <c r="H18" s="1730">
        <f t="shared" si="1"/>
        <v>0</v>
      </c>
      <c r="I18" s="1730">
        <f t="shared" si="1"/>
        <v>0</v>
      </c>
      <c r="J18" s="1730">
        <f t="shared" si="1"/>
        <v>0</v>
      </c>
      <c r="K18" s="1731">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525</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25225</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5" t="s">
        <v>615</v>
      </c>
      <c r="B39" s="556">
        <v>1354</v>
      </c>
      <c r="C39" s="489"/>
      <c r="D39" s="468"/>
      <c r="E39" s="468"/>
      <c r="F39" s="468"/>
      <c r="G39" s="468"/>
      <c r="H39" s="468"/>
      <c r="I39" s="468"/>
      <c r="J39" s="468"/>
      <c r="K39" s="468"/>
    </row>
    <row r="40" spans="1:11" ht="12.75" customHeight="1" thickBot="1" x14ac:dyDescent="0.25">
      <c r="A40" s="1728" t="s">
        <v>559</v>
      </c>
      <c r="B40" s="1729"/>
      <c r="C40" s="1708">
        <f>SUM(C20:C39)</f>
        <v>25750</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476782</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158117</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1168</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1169</v>
      </c>
      <c r="B56" s="557">
        <v>1442</v>
      </c>
      <c r="C56" s="468"/>
      <c r="D56" s="468"/>
      <c r="E56" s="468"/>
      <c r="F56" s="466"/>
      <c r="G56" s="468"/>
      <c r="H56" s="468"/>
      <c r="I56" s="468"/>
      <c r="J56" s="468"/>
      <c r="K56" s="468"/>
    </row>
    <row r="57" spans="1:11" ht="12.75" customHeight="1" x14ac:dyDescent="0.2">
      <c r="A57" s="1516" t="s">
        <v>510</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933</v>
      </c>
      <c r="B59" s="557">
        <v>1451</v>
      </c>
      <c r="C59" s="468"/>
      <c r="D59" s="468"/>
      <c r="E59" s="468"/>
      <c r="F59" s="466"/>
      <c r="G59" s="468"/>
      <c r="H59" s="468"/>
      <c r="I59" s="468"/>
      <c r="J59" s="468"/>
      <c r="K59" s="468"/>
    </row>
    <row r="60" spans="1:11" ht="12.75" customHeight="1" x14ac:dyDescent="0.2">
      <c r="A60" s="1516"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7"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634899</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3395</v>
      </c>
      <c r="D65" s="466">
        <v>12819</v>
      </c>
      <c r="E65" s="466">
        <v>2383</v>
      </c>
      <c r="F65" s="467">
        <v>14779</v>
      </c>
      <c r="G65" s="466">
        <v>3712</v>
      </c>
      <c r="H65" s="466"/>
      <c r="I65" s="466">
        <v>29403</v>
      </c>
      <c r="J65" s="467">
        <v>776</v>
      </c>
      <c r="K65" s="466">
        <v>588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3395</v>
      </c>
      <c r="D67" s="1708">
        <f t="shared" ref="D67:K67" si="2">SUM(D65:D66)</f>
        <v>12819</v>
      </c>
      <c r="E67" s="1708">
        <f t="shared" si="2"/>
        <v>2383</v>
      </c>
      <c r="F67" s="1708">
        <f t="shared" si="2"/>
        <v>14779</v>
      </c>
      <c r="G67" s="1708">
        <f t="shared" si="2"/>
        <v>3712</v>
      </c>
      <c r="H67" s="1708">
        <f t="shared" si="2"/>
        <v>0</v>
      </c>
      <c r="I67" s="1708">
        <f t="shared" si="2"/>
        <v>29403</v>
      </c>
      <c r="J67" s="1708">
        <f t="shared" si="2"/>
        <v>776</v>
      </c>
      <c r="K67" s="1708">
        <f t="shared" si="2"/>
        <v>588</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-47</v>
      </c>
      <c r="D69" s="468"/>
      <c r="E69" s="468"/>
      <c r="F69" s="468"/>
      <c r="G69" s="468"/>
      <c r="H69" s="468"/>
      <c r="I69" s="468"/>
      <c r="J69" s="468"/>
      <c r="K69" s="468"/>
    </row>
    <row r="70" spans="1:11" ht="12.75" customHeight="1" x14ac:dyDescent="0.2">
      <c r="A70" s="463" t="s">
        <v>1054</v>
      </c>
      <c r="B70" s="470">
        <v>1612</v>
      </c>
      <c r="C70" s="551">
        <v>23</v>
      </c>
      <c r="D70" s="468"/>
      <c r="E70" s="468"/>
      <c r="F70" s="468"/>
      <c r="G70" s="468"/>
      <c r="H70" s="468"/>
      <c r="I70" s="468"/>
      <c r="J70" s="468"/>
      <c r="K70" s="468"/>
    </row>
    <row r="71" spans="1:11" ht="12.75" customHeight="1" x14ac:dyDescent="0.2">
      <c r="A71" s="463" t="s">
        <v>291</v>
      </c>
      <c r="B71" s="470">
        <v>1613</v>
      </c>
      <c r="C71" s="551">
        <v>608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5167</v>
      </c>
      <c r="D73" s="468"/>
      <c r="E73" s="468"/>
      <c r="F73" s="468"/>
      <c r="G73" s="468"/>
      <c r="H73" s="468"/>
      <c r="I73" s="468"/>
      <c r="J73" s="468"/>
      <c r="K73" s="468"/>
    </row>
    <row r="74" spans="1:11" ht="12.75" customHeight="1" x14ac:dyDescent="0.2">
      <c r="A74" s="463" t="s">
        <v>25</v>
      </c>
      <c r="B74" s="470">
        <v>1690</v>
      </c>
      <c r="C74" s="551">
        <v>45340</v>
      </c>
      <c r="D74" s="468"/>
      <c r="E74" s="468"/>
      <c r="F74" s="468"/>
      <c r="G74" s="468"/>
      <c r="H74" s="468"/>
      <c r="I74" s="468"/>
      <c r="J74" s="468"/>
      <c r="K74" s="468"/>
    </row>
    <row r="75" spans="1:11" ht="12.75" customHeight="1" thickBot="1" x14ac:dyDescent="0.25">
      <c r="A75" s="1728" t="s">
        <v>569</v>
      </c>
      <c r="B75" s="1729"/>
      <c r="C75" s="1708">
        <f>SUM(C69:C74)</f>
        <v>51091</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39300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17337</v>
      </c>
      <c r="D81" s="466"/>
      <c r="E81" s="468"/>
      <c r="F81" s="468"/>
      <c r="G81" s="468"/>
      <c r="H81" s="468"/>
      <c r="I81" s="468"/>
      <c r="J81" s="468"/>
      <c r="K81" s="468"/>
    </row>
    <row r="82" spans="1:11" ht="12.75" customHeight="1" thickBot="1" x14ac:dyDescent="0.25">
      <c r="A82" s="1728" t="s">
        <v>259</v>
      </c>
      <c r="B82" s="1729"/>
      <c r="C82" s="1727">
        <f>SUM(C77:C81)</f>
        <v>56637</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386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v>4806</v>
      </c>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513</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5705</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c r="D95" s="551">
        <v>39508</v>
      </c>
      <c r="E95" s="521"/>
      <c r="F95" s="521"/>
      <c r="G95" s="521"/>
      <c r="H95" s="521"/>
      <c r="I95" s="521"/>
      <c r="J95" s="521"/>
      <c r="K95" s="521"/>
    </row>
    <row r="96" spans="1:11" ht="12.75" customHeight="1" x14ac:dyDescent="0.2">
      <c r="A96" s="463" t="s">
        <v>409</v>
      </c>
      <c r="B96" s="470">
        <v>1920</v>
      </c>
      <c r="C96" s="551">
        <v>2268</v>
      </c>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12040</v>
      </c>
      <c r="D99" s="466">
        <v>43</v>
      </c>
      <c r="E99" s="466"/>
      <c r="F99" s="466">
        <v>50</v>
      </c>
      <c r="G99" s="466"/>
      <c r="H99" s="466"/>
      <c r="I99" s="468"/>
      <c r="J99" s="467"/>
      <c r="K99" s="466"/>
    </row>
    <row r="100" spans="1:12" ht="12.75" customHeight="1" x14ac:dyDescent="0.2">
      <c r="A100" s="463" t="s">
        <v>263</v>
      </c>
      <c r="B100" s="470">
        <v>1960</v>
      </c>
      <c r="C100" s="489">
        <v>61951</v>
      </c>
      <c r="D100" s="489">
        <v>9817</v>
      </c>
      <c r="E100" s="489">
        <v>11699</v>
      </c>
      <c r="F100" s="489">
        <v>6724</v>
      </c>
      <c r="G100" s="489">
        <v>7800</v>
      </c>
      <c r="H100" s="489"/>
      <c r="I100" s="467">
        <v>448</v>
      </c>
      <c r="J100" s="489">
        <v>3272</v>
      </c>
      <c r="K100" s="467">
        <v>673</v>
      </c>
    </row>
    <row r="101" spans="1:12" ht="12.75" customHeight="1" x14ac:dyDescent="0.2">
      <c r="A101" s="463" t="s">
        <v>264</v>
      </c>
      <c r="B101" s="470">
        <v>1970</v>
      </c>
      <c r="C101" s="489">
        <v>14950</v>
      </c>
      <c r="D101" s="526"/>
      <c r="E101" s="480"/>
      <c r="F101" s="526"/>
      <c r="G101" s="475"/>
      <c r="H101" s="526"/>
      <c r="I101" s="468"/>
      <c r="J101" s="475"/>
      <c r="K101" s="475"/>
    </row>
    <row r="102" spans="1:12" ht="12.75" customHeight="1" x14ac:dyDescent="0.2">
      <c r="A102" s="463" t="s">
        <v>265</v>
      </c>
      <c r="B102" s="470">
        <v>1980</v>
      </c>
      <c r="C102" s="489">
        <v>4324</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3304</v>
      </c>
      <c r="D106" s="489"/>
      <c r="E106" s="467"/>
      <c r="F106" s="467"/>
      <c r="G106" s="467"/>
      <c r="H106" s="467"/>
      <c r="I106" s="521"/>
      <c r="J106" s="467"/>
      <c r="K106" s="467"/>
    </row>
    <row r="107" spans="1:12" ht="12.75" customHeight="1" x14ac:dyDescent="0.2">
      <c r="A107" s="463" t="s">
        <v>80</v>
      </c>
      <c r="B107" s="470">
        <v>1999</v>
      </c>
      <c r="C107" s="551">
        <v>327</v>
      </c>
      <c r="D107" s="466"/>
      <c r="E107" s="466"/>
      <c r="F107" s="466"/>
      <c r="G107" s="466"/>
      <c r="H107" s="466"/>
      <c r="I107" s="466"/>
      <c r="J107" s="467"/>
      <c r="K107" s="466"/>
    </row>
    <row r="108" spans="1:12" ht="12.75" customHeight="1" thickBot="1" x14ac:dyDescent="0.25">
      <c r="A108" s="1728" t="s">
        <v>508</v>
      </c>
      <c r="B108" s="1732"/>
      <c r="C108" s="1727">
        <f>SUM(C95:C107)</f>
        <v>99164</v>
      </c>
      <c r="D108" s="1727">
        <f t="shared" ref="D108:K108" si="3">SUM(D95:D107)</f>
        <v>49368</v>
      </c>
      <c r="E108" s="1727">
        <f t="shared" si="3"/>
        <v>11699</v>
      </c>
      <c r="F108" s="1727">
        <f t="shared" si="3"/>
        <v>6774</v>
      </c>
      <c r="G108" s="1727">
        <f t="shared" si="3"/>
        <v>7800</v>
      </c>
      <c r="H108" s="1727">
        <f t="shared" si="3"/>
        <v>0</v>
      </c>
      <c r="I108" s="1727">
        <f t="shared" si="3"/>
        <v>448</v>
      </c>
      <c r="J108" s="1727">
        <f t="shared" si="3"/>
        <v>3272</v>
      </c>
      <c r="K108" s="1708">
        <f t="shared" si="3"/>
        <v>673</v>
      </c>
    </row>
    <row r="109" spans="1:12" ht="14.25" thickTop="1" thickBot="1" x14ac:dyDescent="0.25">
      <c r="A109" s="1733" t="s">
        <v>266</v>
      </c>
      <c r="B109" s="1734" t="s">
        <v>591</v>
      </c>
      <c r="C109" s="1735">
        <f t="shared" ref="C109:K109" si="4">SUM(C12,C18,C40,C63,C67,C75,C82,C93,C108,)</f>
        <v>14091185</v>
      </c>
      <c r="D109" s="1735">
        <f t="shared" si="4"/>
        <v>3648368</v>
      </c>
      <c r="E109" s="1735">
        <f t="shared" si="4"/>
        <v>2611691</v>
      </c>
      <c r="F109" s="1735">
        <f t="shared" si="4"/>
        <v>2249345</v>
      </c>
      <c r="G109" s="1735">
        <f t="shared" si="4"/>
        <v>1834361</v>
      </c>
      <c r="H109" s="1735">
        <f t="shared" si="4"/>
        <v>0</v>
      </c>
      <c r="I109" s="1735">
        <f t="shared" si="4"/>
        <v>129388</v>
      </c>
      <c r="J109" s="1735">
        <f t="shared" si="4"/>
        <v>720601</v>
      </c>
      <c r="K109" s="1722">
        <f t="shared" si="4"/>
        <v>150585</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19696665</v>
      </c>
      <c r="D117" s="481">
        <v>650000</v>
      </c>
      <c r="E117" s="466"/>
      <c r="F117" s="481">
        <v>200000</v>
      </c>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6" t="s">
        <v>1902</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19696665</v>
      </c>
      <c r="D121" s="1727">
        <f t="shared" si="5"/>
        <v>650000</v>
      </c>
      <c r="E121" s="1727">
        <f t="shared" si="5"/>
        <v>0</v>
      </c>
      <c r="F121" s="1727">
        <f t="shared" si="5"/>
        <v>200000</v>
      </c>
      <c r="G121" s="1727">
        <f t="shared" si="5"/>
        <v>0</v>
      </c>
      <c r="H121" s="1727">
        <f t="shared" si="5"/>
        <v>0</v>
      </c>
      <c r="I121" s="468"/>
      <c r="J121" s="1727">
        <f>SUM(J117:J120)</f>
        <v>0</v>
      </c>
      <c r="K121" s="1708">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209126</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v>65369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274495</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21073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2086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23159</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27030</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27030</v>
      </c>
      <c r="D144" s="468"/>
      <c r="E144" s="509"/>
      <c r="F144" s="468"/>
      <c r="G144" s="1741">
        <f>SUM(G142:G143)</f>
        <v>0</v>
      </c>
      <c r="H144" s="468"/>
      <c r="I144" s="468"/>
      <c r="J144" s="468"/>
      <c r="K144" s="468"/>
    </row>
    <row r="145" spans="1:11" s="202" customFormat="1" ht="12.75" customHeight="1" thickTop="1" x14ac:dyDescent="0.2">
      <c r="A145" s="1518" t="s">
        <v>1116</v>
      </c>
      <c r="B145" s="568">
        <v>3360</v>
      </c>
      <c r="C145" s="569">
        <v>19889</v>
      </c>
      <c r="D145" s="570"/>
      <c r="E145" s="509"/>
      <c r="F145" s="468"/>
      <c r="G145" s="571"/>
      <c r="H145" s="468"/>
      <c r="I145" s="468"/>
      <c r="J145" s="468"/>
      <c r="K145" s="468"/>
    </row>
    <row r="146" spans="1:11" ht="12.75" customHeight="1" thickBot="1" x14ac:dyDescent="0.25">
      <c r="A146" s="1519" t="s">
        <v>979</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v>38759</v>
      </c>
      <c r="D147" s="573"/>
      <c r="E147" s="509"/>
      <c r="F147" s="468"/>
      <c r="G147" s="468"/>
      <c r="H147" s="468"/>
      <c r="I147" s="468"/>
      <c r="J147" s="468"/>
      <c r="K147" s="468"/>
    </row>
    <row r="148" spans="1:11" ht="12.75" customHeight="1" thickTop="1" thickBot="1" x14ac:dyDescent="0.25">
      <c r="A148" s="1520" t="s">
        <v>791</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c r="D151" s="466"/>
      <c r="E151" s="561"/>
      <c r="F151" s="466">
        <v>587418</v>
      </c>
      <c r="G151" s="467"/>
      <c r="H151" s="468"/>
      <c r="I151" s="468"/>
      <c r="J151" s="468"/>
      <c r="K151" s="468"/>
    </row>
    <row r="152" spans="1:11" ht="12.75" customHeight="1" x14ac:dyDescent="0.2">
      <c r="A152" s="463" t="s">
        <v>1117</v>
      </c>
      <c r="B152" s="562">
        <v>3510</v>
      </c>
      <c r="C152" s="551"/>
      <c r="D152" s="466"/>
      <c r="E152" s="561"/>
      <c r="F152" s="466">
        <v>450888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1038306</v>
      </c>
      <c r="G154" s="1727">
        <f>SUM(G151:G153)</f>
        <v>0</v>
      </c>
      <c r="H154" s="468"/>
      <c r="I154" s="468"/>
      <c r="J154" s="468"/>
      <c r="K154" s="468"/>
    </row>
    <row r="155" spans="1:11" ht="12.75" customHeight="1" thickTop="1" thickBot="1" x14ac:dyDescent="0.25">
      <c r="A155" s="1520" t="s">
        <v>398</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1057</v>
      </c>
      <c r="B157" s="574">
        <v>3695</v>
      </c>
      <c r="C157" s="576"/>
      <c r="D157" s="468"/>
      <c r="E157" s="561"/>
      <c r="F157" s="576"/>
      <c r="G157" s="576"/>
      <c r="H157" s="468"/>
      <c r="I157" s="468"/>
      <c r="J157" s="468"/>
      <c r="K157" s="468"/>
    </row>
    <row r="158" spans="1:11" ht="12.75" customHeight="1" thickTop="1" thickBot="1" x14ac:dyDescent="0.25">
      <c r="A158" s="1520" t="s">
        <v>1111</v>
      </c>
      <c r="B158" s="574">
        <v>3705</v>
      </c>
      <c r="C158" s="576">
        <v>334061</v>
      </c>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415</v>
      </c>
      <c r="B161" s="574">
        <v>3725</v>
      </c>
      <c r="C161" s="531"/>
      <c r="D161" s="468"/>
      <c r="E161" s="561"/>
      <c r="F161" s="531"/>
      <c r="G161" s="531"/>
      <c r="H161" s="468"/>
      <c r="I161" s="468"/>
      <c r="J161" s="468"/>
      <c r="K161" s="468"/>
    </row>
    <row r="162" spans="1:11" ht="12.75" customHeight="1" thickTop="1" thickBot="1" x14ac:dyDescent="0.25">
      <c r="A162" s="1520" t="s">
        <v>416</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1042</v>
      </c>
      <c r="B164" s="574">
        <v>3767</v>
      </c>
      <c r="C164" s="576"/>
      <c r="D164" s="531"/>
      <c r="E164" s="561"/>
      <c r="F164" s="531"/>
      <c r="G164" s="531"/>
      <c r="H164" s="468"/>
      <c r="I164" s="468"/>
      <c r="J164" s="468"/>
      <c r="K164" s="468"/>
    </row>
    <row r="165" spans="1:11" ht="12.75" customHeight="1" thickTop="1" thickBot="1" x14ac:dyDescent="0.25">
      <c r="A165" s="1520" t="s">
        <v>1043</v>
      </c>
      <c r="B165" s="574">
        <v>3775</v>
      </c>
      <c r="C165" s="576"/>
      <c r="D165" s="573"/>
      <c r="E165" s="530"/>
      <c r="F165" s="573"/>
      <c r="G165" s="532"/>
      <c r="H165" s="530"/>
      <c r="I165" s="468"/>
      <c r="J165" s="468"/>
      <c r="K165" s="530"/>
    </row>
    <row r="166" spans="1:11" ht="12.75" customHeight="1" thickTop="1" thickBot="1" x14ac:dyDescent="0.25">
      <c r="A166" s="1520" t="s">
        <v>1524</v>
      </c>
      <c r="B166" s="574">
        <v>3780</v>
      </c>
      <c r="C166" s="531"/>
      <c r="D166" s="530"/>
      <c r="E166" s="531"/>
      <c r="F166" s="531"/>
      <c r="G166" s="531"/>
      <c r="H166" s="531"/>
      <c r="I166" s="468"/>
      <c r="J166" s="468"/>
      <c r="K166" s="531"/>
    </row>
    <row r="167" spans="1:11" ht="12.75" customHeight="1" thickTop="1" thickBot="1" x14ac:dyDescent="0.25">
      <c r="A167" s="1520" t="s">
        <v>913</v>
      </c>
      <c r="B167" s="574">
        <v>3815</v>
      </c>
      <c r="C167" s="576"/>
      <c r="D167" s="468"/>
      <c r="E167" s="561"/>
      <c r="F167" s="576"/>
      <c r="G167" s="468"/>
      <c r="H167" s="468"/>
      <c r="I167" s="468"/>
      <c r="J167" s="468"/>
      <c r="K167" s="468"/>
    </row>
    <row r="168" spans="1:11" ht="12.75" customHeight="1" thickTop="1" thickBot="1" x14ac:dyDescent="0.25">
      <c r="A168" s="1520" t="s">
        <v>417</v>
      </c>
      <c r="B168" s="574">
        <v>3825</v>
      </c>
      <c r="C168" s="576"/>
      <c r="D168" s="468"/>
      <c r="E168" s="561"/>
      <c r="F168" s="576"/>
      <c r="G168" s="468"/>
      <c r="H168" s="468"/>
      <c r="I168" s="468"/>
      <c r="J168" s="468"/>
      <c r="K168" s="468"/>
    </row>
    <row r="169" spans="1:11" ht="12.75" customHeight="1" thickTop="1" thickBot="1" x14ac:dyDescent="0.25">
      <c r="A169" s="1520" t="s">
        <v>366</v>
      </c>
      <c r="B169" s="574">
        <v>3920</v>
      </c>
      <c r="C169" s="566"/>
      <c r="D169" s="578"/>
      <c r="E169" s="468"/>
      <c r="F169" s="566"/>
      <c r="G169" s="468"/>
      <c r="H169" s="530"/>
      <c r="I169" s="468"/>
      <c r="J169" s="468"/>
      <c r="K169" s="468"/>
    </row>
    <row r="170" spans="1:11" ht="12.75" customHeight="1" thickTop="1" thickBot="1" x14ac:dyDescent="0.25">
      <c r="A170" s="1520" t="s">
        <v>367</v>
      </c>
      <c r="B170" s="574">
        <v>3925</v>
      </c>
      <c r="C170" s="521"/>
      <c r="D170" s="576"/>
      <c r="E170" s="521"/>
      <c r="F170" s="521"/>
      <c r="G170" s="468"/>
      <c r="H170" s="531"/>
      <c r="I170" s="468"/>
      <c r="J170" s="468"/>
      <c r="K170" s="530"/>
    </row>
    <row r="171" spans="1:11" ht="14.25" thickTop="1" thickBot="1" x14ac:dyDescent="0.25">
      <c r="A171" s="1520" t="s">
        <v>72</v>
      </c>
      <c r="B171" s="574">
        <v>3999</v>
      </c>
      <c r="C171" s="579">
        <f>244946+3223+6764</f>
        <v>254933</v>
      </c>
      <c r="D171" s="580"/>
      <c r="E171" s="580"/>
      <c r="F171" s="580"/>
      <c r="G171" s="581"/>
      <c r="H171" s="582"/>
      <c r="I171" s="581"/>
      <c r="J171" s="581"/>
      <c r="K171" s="582"/>
    </row>
    <row r="172" spans="1:11" ht="12.75" customHeight="1" thickTop="1" thickBot="1" x14ac:dyDescent="0.25">
      <c r="A172" s="2187" t="s">
        <v>418</v>
      </c>
      <c r="B172" s="2188"/>
      <c r="C172" s="1742">
        <f t="shared" ref="C172:K172" si="6">SUM(C131,C140,C144,C145:C149,C154,C155:C170,C171)</f>
        <v>972326</v>
      </c>
      <c r="D172" s="1742">
        <f t="shared" si="6"/>
        <v>0</v>
      </c>
      <c r="E172" s="1742">
        <f t="shared" si="6"/>
        <v>0</v>
      </c>
      <c r="F172" s="1742">
        <f t="shared" si="6"/>
        <v>1038306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20668991</v>
      </c>
      <c r="D173" s="1735">
        <f>SUM(D121,D172)</f>
        <v>650000</v>
      </c>
      <c r="E173" s="1735">
        <f>SUM(E121,E172)</f>
        <v>0</v>
      </c>
      <c r="F173" s="1735">
        <f t="shared" ref="F173:K173" si="7">SUM(F121,F172)</f>
        <v>1238306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89" t="s">
        <v>1572</v>
      </c>
      <c r="B175" s="2190"/>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93" t="s">
        <v>1764</v>
      </c>
      <c r="B178" s="219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97" t="s">
        <v>1763</v>
      </c>
      <c r="B179" s="2198"/>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74970</v>
      </c>
      <c r="D183" s="466"/>
      <c r="E183" s="468"/>
      <c r="F183" s="466"/>
      <c r="G183" s="466"/>
      <c r="H183" s="466"/>
      <c r="I183" s="468"/>
      <c r="J183" s="468"/>
      <c r="K183" s="466"/>
    </row>
    <row r="184" spans="1:11" ht="13.5" thickBot="1" x14ac:dyDescent="0.25">
      <c r="A184" s="2195" t="s">
        <v>818</v>
      </c>
      <c r="B184" s="2196"/>
      <c r="C184" s="1727">
        <f>SUM(C180:C183)</f>
        <v>74970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91" t="s">
        <v>1904</v>
      </c>
      <c r="B185" s="2192"/>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1329802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372591</v>
      </c>
      <c r="D196" s="468"/>
      <c r="E196" s="561"/>
      <c r="F196" s="468"/>
      <c r="G196" s="585"/>
      <c r="H196" s="468"/>
      <c r="I196" s="468"/>
      <c r="J196" s="468"/>
      <c r="K196" s="468"/>
    </row>
    <row r="197" spans="1:11" ht="12.75" customHeight="1" x14ac:dyDescent="0.2">
      <c r="A197" s="463" t="s">
        <v>1526</v>
      </c>
      <c r="B197" s="470">
        <v>4225</v>
      </c>
      <c r="C197" s="551">
        <v>23766</v>
      </c>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1726159</v>
      </c>
      <c r="D201" s="468"/>
      <c r="E201" s="468"/>
      <c r="F201" s="468"/>
      <c r="G201" s="1708">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1998278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1998278</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32497</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1111620</v>
      </c>
      <c r="D220" s="466"/>
      <c r="E220" s="468"/>
      <c r="F220" s="466"/>
      <c r="G220" s="466"/>
      <c r="H220" s="468"/>
      <c r="I220" s="468"/>
      <c r="J220" s="468"/>
      <c r="K220" s="468"/>
    </row>
    <row r="221" spans="1:11" ht="12.75" customHeight="1" x14ac:dyDescent="0.2">
      <c r="A221" s="463" t="s">
        <v>1114</v>
      </c>
      <c r="B221" s="470">
        <v>4625</v>
      </c>
      <c r="C221" s="551">
        <v>97443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1241560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2131</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2131</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1493</v>
      </c>
      <c r="B260" s="588">
        <v>4901</v>
      </c>
      <c r="C260" s="589"/>
      <c r="D260" s="469"/>
      <c r="E260" s="468"/>
      <c r="F260" s="468"/>
      <c r="G260" s="468"/>
      <c r="H260" s="468"/>
      <c r="I260" s="468"/>
      <c r="J260" s="468"/>
      <c r="K260" s="468"/>
    </row>
    <row r="261" spans="1:11" ht="12.75" customHeight="1" thickTop="1" thickBot="1" x14ac:dyDescent="0.25">
      <c r="A261" s="1523"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6914</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193084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69521</v>
      </c>
      <c r="D270" s="576"/>
      <c r="E270" s="468"/>
      <c r="F270" s="576"/>
      <c r="G270" s="576"/>
      <c r="H270" s="468"/>
      <c r="I270" s="468"/>
      <c r="J270" s="468"/>
      <c r="K270" s="468"/>
    </row>
    <row r="271" spans="1:11" ht="12.75" customHeight="1" thickTop="1" thickBot="1" x14ac:dyDescent="0.25">
      <c r="A271" s="463" t="s">
        <v>395</v>
      </c>
      <c r="B271" s="470">
        <v>4992</v>
      </c>
      <c r="C271" s="575">
        <v>536684</v>
      </c>
      <c r="D271" s="576"/>
      <c r="E271" s="468"/>
      <c r="F271" s="576">
        <v>40000</v>
      </c>
      <c r="G271" s="576"/>
      <c r="H271" s="468"/>
      <c r="I271" s="468"/>
      <c r="J271" s="468"/>
      <c r="K271" s="468"/>
    </row>
    <row r="272" spans="1:11" s="594" customFormat="1" ht="12.75" customHeight="1" thickTop="1" thickBot="1" x14ac:dyDescent="0.25">
      <c r="A272" s="563" t="s">
        <v>77</v>
      </c>
      <c r="B272" s="557">
        <v>4999</v>
      </c>
      <c r="C272" s="575">
        <v>26545</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5800876</v>
      </c>
      <c r="D273" s="1735">
        <f t="shared" si="10"/>
        <v>0</v>
      </c>
      <c r="E273" s="1735">
        <f t="shared" si="10"/>
        <v>0</v>
      </c>
      <c r="F273" s="1735">
        <f t="shared" si="10"/>
        <v>40000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5875846</v>
      </c>
      <c r="D274" s="1735">
        <f>SUM(D178,D184,D273)</f>
        <v>0</v>
      </c>
      <c r="E274" s="1735">
        <f>SUM(E178,E273)</f>
        <v>0</v>
      </c>
      <c r="F274" s="1735">
        <f t="shared" ref="F274:K274" si="11">SUM(F178,F184,F273)</f>
        <v>40000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40636022</v>
      </c>
      <c r="D275" s="1735">
        <f t="shared" si="12"/>
        <v>4298368</v>
      </c>
      <c r="E275" s="1735">
        <f t="shared" si="12"/>
        <v>2611691</v>
      </c>
      <c r="F275" s="1735">
        <f t="shared" si="12"/>
        <v>3527651</v>
      </c>
      <c r="G275" s="1735">
        <f t="shared" si="12"/>
        <v>1834361</v>
      </c>
      <c r="H275" s="1735">
        <f t="shared" si="12"/>
        <v>0</v>
      </c>
      <c r="I275" s="1735">
        <f t="shared" si="12"/>
        <v>129388</v>
      </c>
      <c r="J275" s="1735">
        <f t="shared" si="12"/>
        <v>720601</v>
      </c>
      <c r="K275" s="1722">
        <f t="shared" si="12"/>
        <v>150585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Layout" topLeftCell="A76" colorId="8" zoomScaleNormal="110" workbookViewId="0">
      <selection activeCell="G11" sqref="G1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7"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7" t="s">
        <v>315</v>
      </c>
      <c r="B3" s="2208"/>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11146369</v>
      </c>
      <c r="D5" s="466">
        <v>2724424</v>
      </c>
      <c r="E5" s="466">
        <v>22611</v>
      </c>
      <c r="F5" s="466">
        <v>280419</v>
      </c>
      <c r="G5" s="466">
        <v>101750</v>
      </c>
      <c r="H5" s="466"/>
      <c r="I5" s="467">
        <v>78626</v>
      </c>
      <c r="J5" s="467">
        <v>3000</v>
      </c>
      <c r="K5" s="1691">
        <f>SUM(C5:J5)</f>
        <v>14357199</v>
      </c>
      <c r="L5" s="466">
        <v>14116881</v>
      </c>
    </row>
    <row r="6" spans="1:14" x14ac:dyDescent="0.2">
      <c r="A6" s="1524" t="s">
        <v>1508</v>
      </c>
      <c r="B6" s="615" t="s">
        <v>1506</v>
      </c>
      <c r="C6" s="477"/>
      <c r="D6" s="477"/>
      <c r="E6" s="466"/>
      <c r="F6" s="477"/>
      <c r="G6" s="477"/>
      <c r="H6" s="477"/>
      <c r="I6" s="477"/>
      <c r="J6" s="477"/>
      <c r="K6" s="1691">
        <f>SUM(C6,E6)</f>
        <v>0</v>
      </c>
      <c r="L6" s="466">
        <v>0</v>
      </c>
    </row>
    <row r="7" spans="1:14" x14ac:dyDescent="0.2">
      <c r="A7" s="1524" t="s">
        <v>165</v>
      </c>
      <c r="B7" s="615" t="s">
        <v>1024</v>
      </c>
      <c r="C7" s="467">
        <v>415906</v>
      </c>
      <c r="D7" s="467">
        <v>123541</v>
      </c>
      <c r="E7" s="467">
        <v>71351</v>
      </c>
      <c r="F7" s="467">
        <v>2010</v>
      </c>
      <c r="G7" s="467"/>
      <c r="H7" s="467"/>
      <c r="I7" s="467"/>
      <c r="J7" s="467"/>
      <c r="K7" s="1691">
        <f t="shared" ref="K7:K32" si="0">SUM(C7:J7)</f>
        <v>612808</v>
      </c>
      <c r="L7" s="466">
        <v>539337</v>
      </c>
    </row>
    <row r="8" spans="1:14" x14ac:dyDescent="0.2">
      <c r="A8" s="1524" t="s">
        <v>166</v>
      </c>
      <c r="B8" s="615">
        <v>1200</v>
      </c>
      <c r="C8" s="466">
        <v>3107823</v>
      </c>
      <c r="D8" s="466">
        <v>723106</v>
      </c>
      <c r="E8" s="466">
        <v>17794</v>
      </c>
      <c r="F8" s="466">
        <v>56288</v>
      </c>
      <c r="G8" s="466">
        <v>4099</v>
      </c>
      <c r="H8" s="466"/>
      <c r="I8" s="467"/>
      <c r="J8" s="467">
        <v>660</v>
      </c>
      <c r="K8" s="1691">
        <f t="shared" si="0"/>
        <v>3909770</v>
      </c>
      <c r="L8" s="466">
        <v>3572168</v>
      </c>
    </row>
    <row r="9" spans="1:14" x14ac:dyDescent="0.2">
      <c r="A9" s="1524" t="s">
        <v>745</v>
      </c>
      <c r="B9" s="615" t="s">
        <v>1025</v>
      </c>
      <c r="C9" s="467">
        <v>25919</v>
      </c>
      <c r="D9" s="467"/>
      <c r="E9" s="467"/>
      <c r="F9" s="467">
        <v>284</v>
      </c>
      <c r="G9" s="467"/>
      <c r="H9" s="467"/>
      <c r="I9" s="467"/>
      <c r="J9" s="467"/>
      <c r="K9" s="1691">
        <f t="shared" si="0"/>
        <v>26203</v>
      </c>
      <c r="L9" s="466">
        <v>29983</v>
      </c>
    </row>
    <row r="10" spans="1:14" x14ac:dyDescent="0.2">
      <c r="A10" s="1524" t="s">
        <v>746</v>
      </c>
      <c r="B10" s="615">
        <v>1250</v>
      </c>
      <c r="C10" s="466">
        <v>506370</v>
      </c>
      <c r="D10" s="466">
        <v>139060</v>
      </c>
      <c r="E10" s="466">
        <v>377333</v>
      </c>
      <c r="F10" s="466">
        <v>467936</v>
      </c>
      <c r="G10" s="466"/>
      <c r="H10" s="466"/>
      <c r="I10" s="467">
        <v>33275</v>
      </c>
      <c r="J10" s="467"/>
      <c r="K10" s="1691">
        <f t="shared" si="0"/>
        <v>1523974</v>
      </c>
      <c r="L10" s="466">
        <v>1132808</v>
      </c>
    </row>
    <row r="11" spans="1:14" x14ac:dyDescent="0.2">
      <c r="A11" s="1524" t="s">
        <v>1192</v>
      </c>
      <c r="B11" s="615" t="s">
        <v>163</v>
      </c>
      <c r="C11" s="467"/>
      <c r="D11" s="467"/>
      <c r="E11" s="467"/>
      <c r="F11" s="467"/>
      <c r="G11" s="467"/>
      <c r="H11" s="467"/>
      <c r="I11" s="467"/>
      <c r="J11" s="467"/>
      <c r="K11" s="1691">
        <f t="shared" si="0"/>
        <v>0</v>
      </c>
      <c r="L11" s="466">
        <v>0</v>
      </c>
    </row>
    <row r="12" spans="1:14" x14ac:dyDescent="0.2">
      <c r="A12" s="1524" t="s">
        <v>1019</v>
      </c>
      <c r="B12" s="615">
        <v>1300</v>
      </c>
      <c r="C12" s="466"/>
      <c r="D12" s="466"/>
      <c r="E12" s="466"/>
      <c r="F12" s="466"/>
      <c r="G12" s="466"/>
      <c r="H12" s="466"/>
      <c r="I12" s="467"/>
      <c r="J12" s="467"/>
      <c r="K12" s="1691">
        <f t="shared" si="0"/>
        <v>0</v>
      </c>
      <c r="L12" s="466">
        <v>0</v>
      </c>
    </row>
    <row r="13" spans="1:14" x14ac:dyDescent="0.2">
      <c r="A13" s="1524" t="s">
        <v>747</v>
      </c>
      <c r="B13" s="615">
        <v>1400</v>
      </c>
      <c r="C13" s="466">
        <v>444748</v>
      </c>
      <c r="D13" s="466">
        <v>126169</v>
      </c>
      <c r="E13" s="466">
        <v>69</v>
      </c>
      <c r="F13" s="466">
        <v>14979</v>
      </c>
      <c r="G13" s="466"/>
      <c r="H13" s="466"/>
      <c r="I13" s="467"/>
      <c r="J13" s="467"/>
      <c r="K13" s="1691">
        <f t="shared" si="0"/>
        <v>585965</v>
      </c>
      <c r="L13" s="466">
        <v>485672</v>
      </c>
    </row>
    <row r="14" spans="1:14" x14ac:dyDescent="0.2">
      <c r="A14" s="1524" t="s">
        <v>1020</v>
      </c>
      <c r="B14" s="615">
        <v>1500</v>
      </c>
      <c r="C14" s="466">
        <v>453061</v>
      </c>
      <c r="D14" s="466">
        <v>33739</v>
      </c>
      <c r="E14" s="466">
        <v>64808</v>
      </c>
      <c r="F14" s="466">
        <v>64156</v>
      </c>
      <c r="G14" s="466"/>
      <c r="H14" s="466">
        <v>1620</v>
      </c>
      <c r="I14" s="467"/>
      <c r="J14" s="467"/>
      <c r="K14" s="1691">
        <f t="shared" si="0"/>
        <v>617384</v>
      </c>
      <c r="L14" s="466">
        <v>621156</v>
      </c>
    </row>
    <row r="15" spans="1:14" x14ac:dyDescent="0.2">
      <c r="A15" s="1524" t="s">
        <v>1021</v>
      </c>
      <c r="B15" s="615">
        <v>1600</v>
      </c>
      <c r="C15" s="466">
        <v>103075</v>
      </c>
      <c r="D15" s="466">
        <v>10470</v>
      </c>
      <c r="E15" s="466">
        <v>3701</v>
      </c>
      <c r="F15" s="466">
        <v>101016</v>
      </c>
      <c r="G15" s="466"/>
      <c r="H15" s="466"/>
      <c r="I15" s="467"/>
      <c r="J15" s="467"/>
      <c r="K15" s="1691">
        <f t="shared" si="0"/>
        <v>218262</v>
      </c>
      <c r="L15" s="466">
        <v>364455</v>
      </c>
    </row>
    <row r="16" spans="1:14" x14ac:dyDescent="0.2">
      <c r="A16" s="1524" t="s">
        <v>1044</v>
      </c>
      <c r="B16" s="615" t="s">
        <v>444</v>
      </c>
      <c r="C16" s="466">
        <v>390865</v>
      </c>
      <c r="D16" s="466">
        <v>93356</v>
      </c>
      <c r="E16" s="466"/>
      <c r="F16" s="466"/>
      <c r="G16" s="466"/>
      <c r="H16" s="466"/>
      <c r="I16" s="467"/>
      <c r="J16" s="467"/>
      <c r="K16" s="1691">
        <f t="shared" si="0"/>
        <v>484221</v>
      </c>
      <c r="L16" s="466">
        <v>558758</v>
      </c>
    </row>
    <row r="17" spans="1:12" x14ac:dyDescent="0.2">
      <c r="A17" s="1524" t="s">
        <v>748</v>
      </c>
      <c r="B17" s="615" t="s">
        <v>164</v>
      </c>
      <c r="C17" s="467">
        <v>102250</v>
      </c>
      <c r="D17" s="467">
        <v>31626</v>
      </c>
      <c r="E17" s="467">
        <v>395</v>
      </c>
      <c r="F17" s="467">
        <v>717</v>
      </c>
      <c r="G17" s="467"/>
      <c r="H17" s="467"/>
      <c r="I17" s="467"/>
      <c r="J17" s="467"/>
      <c r="K17" s="1691">
        <f t="shared" si="0"/>
        <v>134988</v>
      </c>
      <c r="L17" s="466">
        <v>128843</v>
      </c>
    </row>
    <row r="18" spans="1:12" x14ac:dyDescent="0.2">
      <c r="A18" s="1524" t="s">
        <v>1148</v>
      </c>
      <c r="B18" s="615">
        <v>1800</v>
      </c>
      <c r="C18" s="466">
        <v>345068</v>
      </c>
      <c r="D18" s="466">
        <v>80967</v>
      </c>
      <c r="E18" s="466"/>
      <c r="F18" s="466">
        <v>2050</v>
      </c>
      <c r="G18" s="466"/>
      <c r="H18" s="466"/>
      <c r="I18" s="467"/>
      <c r="J18" s="467"/>
      <c r="K18" s="1691">
        <f t="shared" si="0"/>
        <v>428085</v>
      </c>
      <c r="L18" s="466">
        <v>514011</v>
      </c>
    </row>
    <row r="19" spans="1:12" x14ac:dyDescent="0.2">
      <c r="A19" s="1524" t="s">
        <v>136</v>
      </c>
      <c r="B19" s="615">
        <v>1900</v>
      </c>
      <c r="C19" s="466"/>
      <c r="D19" s="466">
        <v>28211</v>
      </c>
      <c r="E19" s="466">
        <v>196979</v>
      </c>
      <c r="F19" s="466">
        <v>7658</v>
      </c>
      <c r="G19" s="466"/>
      <c r="H19" s="466"/>
      <c r="I19" s="467"/>
      <c r="J19" s="467"/>
      <c r="K19" s="1691">
        <f t="shared" si="0"/>
        <v>232848</v>
      </c>
      <c r="L19" s="466">
        <v>206087</v>
      </c>
    </row>
    <row r="20" spans="1:12" x14ac:dyDescent="0.2">
      <c r="A20" s="1525" t="s">
        <v>762</v>
      </c>
      <c r="B20" s="603" t="s">
        <v>749</v>
      </c>
      <c r="C20" s="477"/>
      <c r="D20" s="477"/>
      <c r="E20" s="477"/>
      <c r="F20" s="477"/>
      <c r="G20" s="477"/>
      <c r="H20" s="474"/>
      <c r="I20" s="617"/>
      <c r="J20" s="475"/>
      <c r="K20" s="1691">
        <f t="shared" si="0"/>
        <v>0</v>
      </c>
      <c r="L20" s="471">
        <v>0</v>
      </c>
    </row>
    <row r="21" spans="1:12" x14ac:dyDescent="0.2">
      <c r="A21" s="1525" t="s">
        <v>763</v>
      </c>
      <c r="B21" s="603" t="s">
        <v>750</v>
      </c>
      <c r="C21" s="477"/>
      <c r="D21" s="477"/>
      <c r="E21" s="477"/>
      <c r="F21" s="477"/>
      <c r="G21" s="477"/>
      <c r="H21" s="474"/>
      <c r="I21" s="617"/>
      <c r="J21" s="477"/>
      <c r="K21" s="1691">
        <f t="shared" si="0"/>
        <v>0</v>
      </c>
      <c r="L21" s="471">
        <v>0</v>
      </c>
    </row>
    <row r="22" spans="1:12" x14ac:dyDescent="0.2">
      <c r="A22" s="1525" t="s">
        <v>764</v>
      </c>
      <c r="B22" s="603" t="s">
        <v>751</v>
      </c>
      <c r="C22" s="477"/>
      <c r="D22" s="477"/>
      <c r="E22" s="477"/>
      <c r="F22" s="477"/>
      <c r="G22" s="477"/>
      <c r="H22" s="474">
        <v>864772</v>
      </c>
      <c r="I22" s="617"/>
      <c r="J22" s="477"/>
      <c r="K22" s="1691">
        <f t="shared" si="0"/>
        <v>864772</v>
      </c>
      <c r="L22" s="471">
        <v>700000</v>
      </c>
    </row>
    <row r="23" spans="1:12" x14ac:dyDescent="0.2">
      <c r="A23" s="1525" t="s">
        <v>765</v>
      </c>
      <c r="B23" s="603" t="s">
        <v>752</v>
      </c>
      <c r="C23" s="477"/>
      <c r="D23" s="477"/>
      <c r="E23" s="477"/>
      <c r="F23" s="477"/>
      <c r="G23" s="477"/>
      <c r="H23" s="474"/>
      <c r="I23" s="617"/>
      <c r="J23" s="477"/>
      <c r="K23" s="1691">
        <f t="shared" si="0"/>
        <v>0</v>
      </c>
      <c r="L23" s="471">
        <v>0</v>
      </c>
    </row>
    <row r="24" spans="1:12" ht="12.75" customHeight="1" x14ac:dyDescent="0.2">
      <c r="A24" s="1525" t="s">
        <v>766</v>
      </c>
      <c r="B24" s="603" t="s">
        <v>753</v>
      </c>
      <c r="C24" s="477"/>
      <c r="D24" s="477"/>
      <c r="E24" s="477"/>
      <c r="F24" s="477"/>
      <c r="G24" s="477"/>
      <c r="H24" s="474">
        <v>2730</v>
      </c>
      <c r="I24" s="617"/>
      <c r="J24" s="477"/>
      <c r="K24" s="1691">
        <f t="shared" si="0"/>
        <v>2730</v>
      </c>
      <c r="L24" s="471">
        <v>10000</v>
      </c>
    </row>
    <row r="25" spans="1:12" ht="12.75" customHeight="1" x14ac:dyDescent="0.2">
      <c r="A25" s="1525" t="s">
        <v>835</v>
      </c>
      <c r="B25" s="603" t="s">
        <v>754</v>
      </c>
      <c r="C25" s="477"/>
      <c r="D25" s="477"/>
      <c r="E25" s="477"/>
      <c r="F25" s="477"/>
      <c r="G25" s="477"/>
      <c r="H25" s="474"/>
      <c r="I25" s="617"/>
      <c r="J25" s="477"/>
      <c r="K25" s="1691">
        <f t="shared" si="0"/>
        <v>0</v>
      </c>
      <c r="L25" s="471">
        <v>0</v>
      </c>
    </row>
    <row r="26" spans="1:12" x14ac:dyDescent="0.2">
      <c r="A26" s="1525" t="s">
        <v>643</v>
      </c>
      <c r="B26" s="603" t="s">
        <v>755</v>
      </c>
      <c r="C26" s="477"/>
      <c r="D26" s="477"/>
      <c r="E26" s="477"/>
      <c r="F26" s="477"/>
      <c r="G26" s="477"/>
      <c r="H26" s="474"/>
      <c r="I26" s="617"/>
      <c r="J26" s="477"/>
      <c r="K26" s="1691">
        <f t="shared" si="0"/>
        <v>0</v>
      </c>
      <c r="L26" s="471">
        <v>0</v>
      </c>
    </row>
    <row r="27" spans="1:12" x14ac:dyDescent="0.2">
      <c r="A27" s="1525" t="s">
        <v>644</v>
      </c>
      <c r="B27" s="603" t="s">
        <v>756</v>
      </c>
      <c r="C27" s="477"/>
      <c r="D27" s="477"/>
      <c r="E27" s="477"/>
      <c r="F27" s="477"/>
      <c r="G27" s="477"/>
      <c r="H27" s="474"/>
      <c r="I27" s="617"/>
      <c r="J27" s="477"/>
      <c r="K27" s="1691">
        <f t="shared" si="0"/>
        <v>0</v>
      </c>
      <c r="L27" s="471">
        <v>0</v>
      </c>
    </row>
    <row r="28" spans="1:12" x14ac:dyDescent="0.2">
      <c r="A28" s="1525" t="s">
        <v>152</v>
      </c>
      <c r="B28" s="603" t="s">
        <v>757</v>
      </c>
      <c r="C28" s="477"/>
      <c r="D28" s="477"/>
      <c r="E28" s="477"/>
      <c r="F28" s="477"/>
      <c r="G28" s="477"/>
      <c r="H28" s="474"/>
      <c r="I28" s="617"/>
      <c r="J28" s="477"/>
      <c r="K28" s="1691">
        <f t="shared" si="0"/>
        <v>0</v>
      </c>
      <c r="L28" s="471">
        <v>0</v>
      </c>
    </row>
    <row r="29" spans="1:12" x14ac:dyDescent="0.2">
      <c r="A29" s="1525" t="s">
        <v>153</v>
      </c>
      <c r="B29" s="603" t="s">
        <v>758</v>
      </c>
      <c r="C29" s="477"/>
      <c r="D29" s="477"/>
      <c r="E29" s="477"/>
      <c r="F29" s="477"/>
      <c r="G29" s="477"/>
      <c r="H29" s="474"/>
      <c r="I29" s="617"/>
      <c r="J29" s="477"/>
      <c r="K29" s="1691">
        <f t="shared" si="0"/>
        <v>0</v>
      </c>
      <c r="L29" s="471">
        <v>0</v>
      </c>
    </row>
    <row r="30" spans="1:12" x14ac:dyDescent="0.2">
      <c r="A30" s="1525" t="s">
        <v>154</v>
      </c>
      <c r="B30" s="603" t="s">
        <v>759</v>
      </c>
      <c r="C30" s="477"/>
      <c r="D30" s="477"/>
      <c r="E30" s="477"/>
      <c r="F30" s="477"/>
      <c r="G30" s="477"/>
      <c r="H30" s="474"/>
      <c r="I30" s="617"/>
      <c r="J30" s="477"/>
      <c r="K30" s="1691">
        <f t="shared" si="0"/>
        <v>0</v>
      </c>
      <c r="L30" s="471">
        <v>0</v>
      </c>
    </row>
    <row r="31" spans="1:12" x14ac:dyDescent="0.2">
      <c r="A31" s="1525" t="s">
        <v>155</v>
      </c>
      <c r="B31" s="603" t="s">
        <v>760</v>
      </c>
      <c r="C31" s="477"/>
      <c r="D31" s="477"/>
      <c r="E31" s="477"/>
      <c r="F31" s="477"/>
      <c r="G31" s="477"/>
      <c r="H31" s="474"/>
      <c r="I31" s="617"/>
      <c r="J31" s="477"/>
      <c r="K31" s="1691">
        <f t="shared" si="0"/>
        <v>0</v>
      </c>
      <c r="L31" s="471">
        <v>0</v>
      </c>
    </row>
    <row r="32" spans="1:12" x14ac:dyDescent="0.2">
      <c r="A32" s="1526"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17041454</v>
      </c>
      <c r="D33" s="1690">
        <f t="shared" ref="D33:L33" si="1">SUM(D5:D32)</f>
        <v>4114669</v>
      </c>
      <c r="E33" s="1690">
        <f t="shared" si="1"/>
        <v>755041</v>
      </c>
      <c r="F33" s="1690">
        <f t="shared" si="1"/>
        <v>997513</v>
      </c>
      <c r="G33" s="1690">
        <f t="shared" si="1"/>
        <v>105849</v>
      </c>
      <c r="H33" s="1690">
        <f t="shared" si="1"/>
        <v>869122</v>
      </c>
      <c r="I33" s="1690">
        <f t="shared" si="1"/>
        <v>111901</v>
      </c>
      <c r="J33" s="1690">
        <f t="shared" si="1"/>
        <v>3660</v>
      </c>
      <c r="K33" s="1690">
        <f t="shared" si="1"/>
        <v>23999209</v>
      </c>
      <c r="L33" s="1690">
        <f t="shared" si="1"/>
        <v>22980159</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814442</v>
      </c>
      <c r="D36" s="481">
        <v>250231</v>
      </c>
      <c r="E36" s="481">
        <v>538</v>
      </c>
      <c r="F36" s="481">
        <v>6700</v>
      </c>
      <c r="G36" s="481"/>
      <c r="H36" s="481"/>
      <c r="I36" s="467"/>
      <c r="J36" s="467">
        <v>4660</v>
      </c>
      <c r="K36" s="1691">
        <f t="shared" ref="K36:K41" si="2">SUM(C36:J36)</f>
        <v>1076571</v>
      </c>
      <c r="L36" s="466">
        <v>873633</v>
      </c>
    </row>
    <row r="37" spans="1:14" x14ac:dyDescent="0.2">
      <c r="A37" s="1524" t="s">
        <v>1151</v>
      </c>
      <c r="B37" s="615">
        <v>2120</v>
      </c>
      <c r="C37" s="466">
        <v>698203</v>
      </c>
      <c r="D37" s="466">
        <v>183119</v>
      </c>
      <c r="E37" s="466">
        <v>15</v>
      </c>
      <c r="F37" s="466"/>
      <c r="G37" s="466"/>
      <c r="H37" s="466"/>
      <c r="I37" s="467"/>
      <c r="J37" s="467"/>
      <c r="K37" s="1691">
        <f t="shared" si="2"/>
        <v>881337</v>
      </c>
      <c r="L37" s="466">
        <v>910151</v>
      </c>
    </row>
    <row r="38" spans="1:14" x14ac:dyDescent="0.2">
      <c r="A38" s="1524" t="s">
        <v>207</v>
      </c>
      <c r="B38" s="615">
        <v>2130</v>
      </c>
      <c r="C38" s="466">
        <v>514962</v>
      </c>
      <c r="D38" s="466">
        <v>118006</v>
      </c>
      <c r="E38" s="466">
        <v>14871</v>
      </c>
      <c r="F38" s="466">
        <v>9610</v>
      </c>
      <c r="G38" s="466"/>
      <c r="H38" s="466"/>
      <c r="I38" s="467"/>
      <c r="J38" s="467"/>
      <c r="K38" s="1691">
        <f t="shared" si="2"/>
        <v>657449</v>
      </c>
      <c r="L38" s="466">
        <v>655191</v>
      </c>
    </row>
    <row r="39" spans="1:14" x14ac:dyDescent="0.2">
      <c r="A39" s="1524" t="s">
        <v>208</v>
      </c>
      <c r="B39" s="615">
        <v>2140</v>
      </c>
      <c r="C39" s="466">
        <v>245348</v>
      </c>
      <c r="D39" s="466">
        <v>42667</v>
      </c>
      <c r="E39" s="466">
        <v>2990</v>
      </c>
      <c r="F39" s="466"/>
      <c r="G39" s="466"/>
      <c r="H39" s="466"/>
      <c r="I39" s="467"/>
      <c r="J39" s="467">
        <v>813</v>
      </c>
      <c r="K39" s="1691">
        <f t="shared" si="2"/>
        <v>291818</v>
      </c>
      <c r="L39" s="466">
        <v>284133</v>
      </c>
    </row>
    <row r="40" spans="1:14" x14ac:dyDescent="0.2">
      <c r="A40" s="1524" t="s">
        <v>209</v>
      </c>
      <c r="B40" s="615">
        <v>2150</v>
      </c>
      <c r="C40" s="466">
        <v>388841</v>
      </c>
      <c r="D40" s="466">
        <v>102674</v>
      </c>
      <c r="E40" s="466">
        <v>6359</v>
      </c>
      <c r="F40" s="466">
        <v>1684</v>
      </c>
      <c r="G40" s="466"/>
      <c r="H40" s="466"/>
      <c r="I40" s="467"/>
      <c r="J40" s="467"/>
      <c r="K40" s="1691">
        <f t="shared" si="2"/>
        <v>499558</v>
      </c>
      <c r="L40" s="466">
        <v>555496</v>
      </c>
    </row>
    <row r="41" spans="1:14" x14ac:dyDescent="0.2">
      <c r="A41" s="1524" t="s">
        <v>1768</v>
      </c>
      <c r="B41" s="615">
        <v>2190</v>
      </c>
      <c r="C41" s="466">
        <v>137900</v>
      </c>
      <c r="D41" s="466">
        <v>27656</v>
      </c>
      <c r="E41" s="466"/>
      <c r="F41" s="466"/>
      <c r="G41" s="466"/>
      <c r="H41" s="466">
        <v>120409</v>
      </c>
      <c r="I41" s="467"/>
      <c r="J41" s="467"/>
      <c r="K41" s="1691">
        <f t="shared" si="2"/>
        <v>285965</v>
      </c>
      <c r="L41" s="466">
        <v>204070</v>
      </c>
    </row>
    <row r="42" spans="1:14" ht="12.75" customHeight="1" thickBot="1" x14ac:dyDescent="0.25">
      <c r="A42" s="1688" t="s">
        <v>581</v>
      </c>
      <c r="B42" s="1689" t="s">
        <v>740</v>
      </c>
      <c r="C42" s="1690">
        <f>SUM(C36:C41)</f>
        <v>2799696</v>
      </c>
      <c r="D42" s="1690">
        <f t="shared" ref="D42:L42" si="3">SUM(D36:D41)</f>
        <v>724353</v>
      </c>
      <c r="E42" s="1690">
        <f t="shared" si="3"/>
        <v>24773</v>
      </c>
      <c r="F42" s="1690">
        <f t="shared" si="3"/>
        <v>17994</v>
      </c>
      <c r="G42" s="1690">
        <f t="shared" si="3"/>
        <v>0</v>
      </c>
      <c r="H42" s="1690">
        <f t="shared" si="3"/>
        <v>120409</v>
      </c>
      <c r="I42" s="1690">
        <f t="shared" si="3"/>
        <v>0</v>
      </c>
      <c r="J42" s="1690">
        <f t="shared" si="3"/>
        <v>5473</v>
      </c>
      <c r="K42" s="1690">
        <f t="shared" si="3"/>
        <v>3692698</v>
      </c>
      <c r="L42" s="1690">
        <f t="shared" si="3"/>
        <v>3482674</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1238669</v>
      </c>
      <c r="D44" s="481">
        <v>418083</v>
      </c>
      <c r="E44" s="481">
        <v>492176</v>
      </c>
      <c r="F44" s="481">
        <v>22186</v>
      </c>
      <c r="G44" s="481"/>
      <c r="H44" s="481">
        <v>4015</v>
      </c>
      <c r="I44" s="467"/>
      <c r="J44" s="467"/>
      <c r="K44" s="1692">
        <f>SUM(C44:J44)</f>
        <v>2175129</v>
      </c>
      <c r="L44" s="481">
        <v>2874751</v>
      </c>
    </row>
    <row r="45" spans="1:14" x14ac:dyDescent="0.2">
      <c r="A45" s="1524" t="s">
        <v>869</v>
      </c>
      <c r="B45" s="615">
        <v>2220</v>
      </c>
      <c r="C45" s="466">
        <v>655337</v>
      </c>
      <c r="D45" s="466">
        <v>120114</v>
      </c>
      <c r="E45" s="466">
        <v>726852</v>
      </c>
      <c r="F45" s="466">
        <v>244303</v>
      </c>
      <c r="G45" s="466">
        <v>148453</v>
      </c>
      <c r="H45" s="466"/>
      <c r="I45" s="467">
        <v>268176</v>
      </c>
      <c r="J45" s="467">
        <v>3120</v>
      </c>
      <c r="K45" s="1692">
        <f>SUM(C45:J45)</f>
        <v>2166355</v>
      </c>
      <c r="L45" s="466">
        <v>2200026</v>
      </c>
    </row>
    <row r="46" spans="1:14" x14ac:dyDescent="0.2">
      <c r="A46" s="1524" t="s">
        <v>870</v>
      </c>
      <c r="B46" s="615">
        <v>2230</v>
      </c>
      <c r="C46" s="466"/>
      <c r="D46" s="466"/>
      <c r="E46" s="466">
        <v>16225</v>
      </c>
      <c r="F46" s="466">
        <v>63624</v>
      </c>
      <c r="G46" s="466"/>
      <c r="H46" s="466"/>
      <c r="I46" s="467"/>
      <c r="J46" s="467"/>
      <c r="K46" s="1692">
        <f>SUM(C46:J46)</f>
        <v>79849</v>
      </c>
      <c r="L46" s="466">
        <v>33200</v>
      </c>
    </row>
    <row r="47" spans="1:14" ht="12.75" customHeight="1" thickBot="1" x14ac:dyDescent="0.25">
      <c r="A47" s="1688" t="s">
        <v>582</v>
      </c>
      <c r="B47" s="1689" t="s">
        <v>32</v>
      </c>
      <c r="C47" s="1690">
        <f>SUM(C44:C46)</f>
        <v>1894006</v>
      </c>
      <c r="D47" s="1690">
        <f t="shared" ref="D47:K47" si="4">SUM(D44:D46)</f>
        <v>538197</v>
      </c>
      <c r="E47" s="1690">
        <f t="shared" si="4"/>
        <v>1235253</v>
      </c>
      <c r="F47" s="1690">
        <f t="shared" si="4"/>
        <v>330113</v>
      </c>
      <c r="G47" s="1690">
        <f t="shared" si="4"/>
        <v>148453</v>
      </c>
      <c r="H47" s="1690">
        <f t="shared" si="4"/>
        <v>4015</v>
      </c>
      <c r="I47" s="1690">
        <f t="shared" si="4"/>
        <v>268176</v>
      </c>
      <c r="J47" s="1690">
        <f t="shared" si="4"/>
        <v>3120</v>
      </c>
      <c r="K47" s="1690">
        <f t="shared" si="4"/>
        <v>4421333</v>
      </c>
      <c r="L47" s="1690">
        <f>SUM(L44:L46)</f>
        <v>5107977</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3600</v>
      </c>
      <c r="D49" s="481"/>
      <c r="E49" s="481">
        <v>133742</v>
      </c>
      <c r="F49" s="481">
        <v>1040</v>
      </c>
      <c r="G49" s="481"/>
      <c r="H49" s="481">
        <v>16921</v>
      </c>
      <c r="I49" s="467"/>
      <c r="J49" s="467"/>
      <c r="K49" s="1692">
        <f>SUM(C49:J49)</f>
        <v>155303</v>
      </c>
      <c r="L49" s="481">
        <v>165869</v>
      </c>
    </row>
    <row r="50" spans="1:14" x14ac:dyDescent="0.2">
      <c r="A50" s="1524" t="s">
        <v>872</v>
      </c>
      <c r="B50" s="615">
        <v>2320</v>
      </c>
      <c r="C50" s="466">
        <v>214817</v>
      </c>
      <c r="D50" s="466">
        <v>52237</v>
      </c>
      <c r="E50" s="466">
        <v>5279</v>
      </c>
      <c r="F50" s="466">
        <v>9721</v>
      </c>
      <c r="G50" s="466"/>
      <c r="H50" s="466">
        <v>7430</v>
      </c>
      <c r="I50" s="467"/>
      <c r="J50" s="467"/>
      <c r="K50" s="1692">
        <f>SUM(C50:J50)</f>
        <v>289484</v>
      </c>
      <c r="L50" s="466">
        <v>292672</v>
      </c>
    </row>
    <row r="51" spans="1:14" x14ac:dyDescent="0.2">
      <c r="A51" s="1524" t="s">
        <v>44</v>
      </c>
      <c r="B51" s="615">
        <v>2330</v>
      </c>
      <c r="C51" s="466">
        <v>292344</v>
      </c>
      <c r="D51" s="466">
        <v>78686</v>
      </c>
      <c r="E51" s="466">
        <v>31116</v>
      </c>
      <c r="F51" s="466">
        <v>5964</v>
      </c>
      <c r="G51" s="466"/>
      <c r="H51" s="466"/>
      <c r="I51" s="467"/>
      <c r="J51" s="467"/>
      <c r="K51" s="1692">
        <f>SUM(C51:J51)</f>
        <v>408110</v>
      </c>
      <c r="L51" s="466">
        <v>419157</v>
      </c>
    </row>
    <row r="52" spans="1:14" ht="22.5" x14ac:dyDescent="0.2">
      <c r="A52" s="1525" t="s">
        <v>316</v>
      </c>
      <c r="B52" s="628" t="s">
        <v>384</v>
      </c>
      <c r="C52" s="474"/>
      <c r="D52" s="474"/>
      <c r="E52" s="474"/>
      <c r="F52" s="474"/>
      <c r="G52" s="474"/>
      <c r="H52" s="474"/>
      <c r="I52" s="474"/>
      <c r="J52" s="474"/>
      <c r="K52" s="1692">
        <f>SUM(C52:J52)</f>
        <v>0</v>
      </c>
      <c r="L52" s="474">
        <v>18000</v>
      </c>
    </row>
    <row r="53" spans="1:14" ht="12.75" customHeight="1" thickBot="1" x14ac:dyDescent="0.25">
      <c r="A53" s="1688" t="s">
        <v>741</v>
      </c>
      <c r="B53" s="1689" t="s">
        <v>33</v>
      </c>
      <c r="C53" s="1690">
        <f>SUM(C49:C52)</f>
        <v>510761</v>
      </c>
      <c r="D53" s="1690">
        <f t="shared" ref="D53:L53" si="5">SUM(D49:D52)</f>
        <v>130923</v>
      </c>
      <c r="E53" s="1690">
        <f t="shared" si="5"/>
        <v>170137</v>
      </c>
      <c r="F53" s="1690">
        <f t="shared" si="5"/>
        <v>16725</v>
      </c>
      <c r="G53" s="1690">
        <f t="shared" si="5"/>
        <v>0</v>
      </c>
      <c r="H53" s="1690">
        <f t="shared" si="5"/>
        <v>24351</v>
      </c>
      <c r="I53" s="1690">
        <f t="shared" si="5"/>
        <v>0</v>
      </c>
      <c r="J53" s="1690">
        <f t="shared" si="5"/>
        <v>0</v>
      </c>
      <c r="K53" s="1690">
        <f t="shared" si="5"/>
        <v>852897</v>
      </c>
      <c r="L53" s="1690">
        <f t="shared" si="5"/>
        <v>895698</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1774631</v>
      </c>
      <c r="D55" s="481">
        <v>576673</v>
      </c>
      <c r="E55" s="481">
        <v>30837</v>
      </c>
      <c r="F55" s="481">
        <v>104686</v>
      </c>
      <c r="G55" s="481"/>
      <c r="H55" s="481">
        <v>4307</v>
      </c>
      <c r="I55" s="467"/>
      <c r="J55" s="467"/>
      <c r="K55" s="1692">
        <f>SUM(C55:J55)</f>
        <v>2491134</v>
      </c>
      <c r="L55" s="481">
        <v>2447937</v>
      </c>
    </row>
    <row r="56" spans="1:14" ht="12.75" customHeight="1" x14ac:dyDescent="0.2">
      <c r="A56" s="1528" t="s">
        <v>394</v>
      </c>
      <c r="B56" s="629">
        <v>2490</v>
      </c>
      <c r="C56" s="466">
        <v>437669</v>
      </c>
      <c r="D56" s="466">
        <v>114761</v>
      </c>
      <c r="E56" s="466"/>
      <c r="F56" s="466">
        <v>4843</v>
      </c>
      <c r="G56" s="466"/>
      <c r="H56" s="466"/>
      <c r="I56" s="467"/>
      <c r="J56" s="467"/>
      <c r="K56" s="1692">
        <f>SUM(C56:J56)</f>
        <v>557273</v>
      </c>
      <c r="L56" s="466">
        <v>472912</v>
      </c>
    </row>
    <row r="57" spans="1:14" s="343" customFormat="1" ht="12.75" customHeight="1" thickBot="1" x14ac:dyDescent="0.25">
      <c r="A57" s="1688" t="s">
        <v>281</v>
      </c>
      <c r="B57" s="1693" t="s">
        <v>34</v>
      </c>
      <c r="C57" s="1694">
        <f>SUM(C55:C56)</f>
        <v>2212300</v>
      </c>
      <c r="D57" s="1694">
        <f t="shared" ref="D57:K57" si="6">SUM(D55:D56)</f>
        <v>691434</v>
      </c>
      <c r="E57" s="1694">
        <f t="shared" si="6"/>
        <v>30837</v>
      </c>
      <c r="F57" s="1694">
        <f t="shared" si="6"/>
        <v>109529</v>
      </c>
      <c r="G57" s="1694">
        <f t="shared" si="6"/>
        <v>0</v>
      </c>
      <c r="H57" s="1694">
        <f t="shared" si="6"/>
        <v>4307</v>
      </c>
      <c r="I57" s="1694">
        <f t="shared" si="6"/>
        <v>0</v>
      </c>
      <c r="J57" s="1694">
        <f t="shared" si="6"/>
        <v>0</v>
      </c>
      <c r="K57" s="1694">
        <f t="shared" si="6"/>
        <v>3048407</v>
      </c>
      <c r="L57" s="1690">
        <f>SUM(L55:L56)</f>
        <v>2920849</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169397</v>
      </c>
      <c r="D59" s="481">
        <v>47827</v>
      </c>
      <c r="E59" s="481">
        <v>100065</v>
      </c>
      <c r="F59" s="481">
        <v>1820</v>
      </c>
      <c r="G59" s="481"/>
      <c r="H59" s="481">
        <v>29215</v>
      </c>
      <c r="I59" s="467"/>
      <c r="J59" s="467">
        <v>3660</v>
      </c>
      <c r="K59" s="1692">
        <f t="shared" ref="K59:K64" si="7">SUM(C59:J59)</f>
        <v>351984</v>
      </c>
      <c r="L59" s="481">
        <v>342075</v>
      </c>
      <c r="M59" s="610"/>
      <c r="N59" s="610"/>
    </row>
    <row r="60" spans="1:14" s="343" customFormat="1" x14ac:dyDescent="0.2">
      <c r="A60" s="1524" t="s">
        <v>483</v>
      </c>
      <c r="B60" s="615">
        <v>2520</v>
      </c>
      <c r="C60" s="466">
        <v>142994</v>
      </c>
      <c r="D60" s="466">
        <v>68639</v>
      </c>
      <c r="E60" s="466">
        <v>9108</v>
      </c>
      <c r="F60" s="466">
        <v>1400</v>
      </c>
      <c r="G60" s="466">
        <v>1826</v>
      </c>
      <c r="H60" s="466"/>
      <c r="I60" s="467"/>
      <c r="J60" s="467"/>
      <c r="K60" s="1692">
        <f t="shared" si="7"/>
        <v>223967</v>
      </c>
      <c r="L60" s="466">
        <v>216766</v>
      </c>
      <c r="M60" s="610"/>
      <c r="N60" s="610"/>
    </row>
    <row r="61" spans="1:14" s="343" customFormat="1" x14ac:dyDescent="0.2">
      <c r="A61" s="1524" t="s">
        <v>206</v>
      </c>
      <c r="B61" s="615">
        <v>2540</v>
      </c>
      <c r="C61" s="466">
        <v>14280</v>
      </c>
      <c r="D61" s="466"/>
      <c r="E61" s="466"/>
      <c r="F61" s="466"/>
      <c r="G61" s="466"/>
      <c r="H61" s="466"/>
      <c r="I61" s="467"/>
      <c r="J61" s="467"/>
      <c r="K61" s="1692">
        <f t="shared" si="7"/>
        <v>14280</v>
      </c>
      <c r="L61" s="466">
        <v>4000</v>
      </c>
      <c r="M61" s="610"/>
      <c r="N61" s="610"/>
    </row>
    <row r="62" spans="1:14" s="343" customFormat="1" x14ac:dyDescent="0.2">
      <c r="A62" s="1524" t="s">
        <v>1010</v>
      </c>
      <c r="B62" s="615">
        <v>2550</v>
      </c>
      <c r="C62" s="466"/>
      <c r="D62" s="466"/>
      <c r="E62" s="466"/>
      <c r="F62" s="466"/>
      <c r="G62" s="466"/>
      <c r="H62" s="466"/>
      <c r="I62" s="467"/>
      <c r="J62" s="467"/>
      <c r="K62" s="1692">
        <f t="shared" si="7"/>
        <v>0</v>
      </c>
      <c r="L62" s="466">
        <v>0</v>
      </c>
      <c r="M62" s="610"/>
      <c r="N62" s="610"/>
    </row>
    <row r="63" spans="1:14" s="610" customFormat="1" x14ac:dyDescent="0.2">
      <c r="A63" s="1524" t="s">
        <v>102</v>
      </c>
      <c r="B63" s="615">
        <v>2560</v>
      </c>
      <c r="C63" s="466">
        <v>644202</v>
      </c>
      <c r="D63" s="466">
        <v>123900</v>
      </c>
      <c r="E63" s="466">
        <v>28774</v>
      </c>
      <c r="F63" s="466">
        <v>1251223</v>
      </c>
      <c r="G63" s="466">
        <v>24893</v>
      </c>
      <c r="H63" s="466">
        <v>2000</v>
      </c>
      <c r="I63" s="467"/>
      <c r="J63" s="467"/>
      <c r="K63" s="1692">
        <f t="shared" si="7"/>
        <v>2074992</v>
      </c>
      <c r="L63" s="466">
        <v>2152286</v>
      </c>
    </row>
    <row r="64" spans="1:14" s="610" customFormat="1" x14ac:dyDescent="0.2">
      <c r="A64" s="1529" t="s">
        <v>103</v>
      </c>
      <c r="B64" s="631">
        <v>2570</v>
      </c>
      <c r="C64" s="481">
        <v>78651</v>
      </c>
      <c r="D64" s="481">
        <v>19479</v>
      </c>
      <c r="E64" s="481">
        <v>7976</v>
      </c>
      <c r="F64" s="481">
        <v>449</v>
      </c>
      <c r="G64" s="481"/>
      <c r="H64" s="481"/>
      <c r="I64" s="467"/>
      <c r="J64" s="467"/>
      <c r="K64" s="1692">
        <f t="shared" si="7"/>
        <v>106555</v>
      </c>
      <c r="L64" s="481">
        <v>106229</v>
      </c>
    </row>
    <row r="65" spans="1:14" s="343" customFormat="1" ht="12.75" customHeight="1" thickBot="1" x14ac:dyDescent="0.25">
      <c r="A65" s="1688" t="s">
        <v>743</v>
      </c>
      <c r="B65" s="1689" t="s">
        <v>35</v>
      </c>
      <c r="C65" s="1690">
        <f>SUM(C59:C64)</f>
        <v>1049524</v>
      </c>
      <c r="D65" s="1690">
        <f t="shared" ref="D65:L65" si="8">SUM(D59:D64)</f>
        <v>259845</v>
      </c>
      <c r="E65" s="1690">
        <f t="shared" si="8"/>
        <v>145923</v>
      </c>
      <c r="F65" s="1690">
        <f t="shared" si="8"/>
        <v>1254892</v>
      </c>
      <c r="G65" s="1690">
        <f t="shared" si="8"/>
        <v>26719</v>
      </c>
      <c r="H65" s="1690">
        <f t="shared" si="8"/>
        <v>31215</v>
      </c>
      <c r="I65" s="1690">
        <f t="shared" si="8"/>
        <v>0</v>
      </c>
      <c r="J65" s="1690">
        <f t="shared" si="8"/>
        <v>3660</v>
      </c>
      <c r="K65" s="1690">
        <f t="shared" si="8"/>
        <v>2771778</v>
      </c>
      <c r="L65" s="1690">
        <f t="shared" si="8"/>
        <v>2821356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66"/>
      <c r="D67" s="466"/>
      <c r="E67" s="466"/>
      <c r="F67" s="466"/>
      <c r="G67" s="466"/>
      <c r="H67" s="466"/>
      <c r="I67" s="467"/>
      <c r="J67" s="467"/>
      <c r="K67" s="1692">
        <f>SUM(C67:J67)</f>
        <v>0</v>
      </c>
      <c r="L67" s="481">
        <v>0</v>
      </c>
      <c r="M67" s="610"/>
      <c r="N67" s="610"/>
    </row>
    <row r="68" spans="1:14" s="343" customFormat="1" x14ac:dyDescent="0.2">
      <c r="A68" s="1524" t="s">
        <v>628</v>
      </c>
      <c r="B68" s="615">
        <v>2620</v>
      </c>
      <c r="C68" s="466">
        <v>701</v>
      </c>
      <c r="D68" s="466">
        <v>159</v>
      </c>
      <c r="E68" s="466">
        <v>8295</v>
      </c>
      <c r="F68" s="466"/>
      <c r="G68" s="466"/>
      <c r="H68" s="466"/>
      <c r="I68" s="467"/>
      <c r="J68" s="467"/>
      <c r="K68" s="1692">
        <f>SUM(C68:J68)</f>
        <v>9155</v>
      </c>
      <c r="L68" s="466">
        <v>24511</v>
      </c>
      <c r="M68" s="610"/>
      <c r="N68" s="610"/>
    </row>
    <row r="69" spans="1:14" s="343" customFormat="1" x14ac:dyDescent="0.2">
      <c r="A69" s="1524" t="s">
        <v>1121</v>
      </c>
      <c r="B69" s="615">
        <v>2630</v>
      </c>
      <c r="C69" s="466">
        <v>69455</v>
      </c>
      <c r="D69" s="466">
        <v>10086</v>
      </c>
      <c r="E69" s="466">
        <v>5987</v>
      </c>
      <c r="F69" s="466">
        <v>2943</v>
      </c>
      <c r="G69" s="466"/>
      <c r="H69" s="466">
        <v>5954</v>
      </c>
      <c r="I69" s="467"/>
      <c r="J69" s="467"/>
      <c r="K69" s="1692">
        <f>SUM(C69:J69)</f>
        <v>94425</v>
      </c>
      <c r="L69" s="466">
        <v>94132</v>
      </c>
      <c r="M69" s="610"/>
      <c r="N69" s="610"/>
    </row>
    <row r="70" spans="1:14" s="343" customFormat="1" x14ac:dyDescent="0.2">
      <c r="A70" s="1524" t="s">
        <v>423</v>
      </c>
      <c r="B70" s="615">
        <v>2640</v>
      </c>
      <c r="C70" s="466">
        <v>225222</v>
      </c>
      <c r="D70" s="466">
        <v>57865</v>
      </c>
      <c r="E70" s="466">
        <v>60055</v>
      </c>
      <c r="F70" s="466">
        <v>12935</v>
      </c>
      <c r="G70" s="466"/>
      <c r="H70" s="466">
        <v>3230</v>
      </c>
      <c r="I70" s="467"/>
      <c r="J70" s="467"/>
      <c r="K70" s="1692">
        <f>SUM(C70:J70)</f>
        <v>359307</v>
      </c>
      <c r="L70" s="466">
        <v>399356</v>
      </c>
      <c r="M70" s="610"/>
      <c r="N70" s="610"/>
    </row>
    <row r="71" spans="1:14" s="343" customFormat="1" x14ac:dyDescent="0.2">
      <c r="A71" s="1524" t="s">
        <v>424</v>
      </c>
      <c r="B71" s="615">
        <v>2660</v>
      </c>
      <c r="C71" s="466"/>
      <c r="D71" s="466"/>
      <c r="E71" s="466">
        <v>101959</v>
      </c>
      <c r="F71" s="466"/>
      <c r="G71" s="466"/>
      <c r="H71" s="466"/>
      <c r="I71" s="467"/>
      <c r="J71" s="467"/>
      <c r="K71" s="1692">
        <f>SUM(C71:J71)</f>
        <v>101959</v>
      </c>
      <c r="L71" s="466">
        <v>100000</v>
      </c>
      <c r="M71" s="610"/>
      <c r="N71" s="610"/>
    </row>
    <row r="72" spans="1:14" s="343" customFormat="1" ht="12.75" customHeight="1" thickBot="1" x14ac:dyDescent="0.25">
      <c r="A72" s="1688" t="s">
        <v>37</v>
      </c>
      <c r="B72" s="1695" t="s">
        <v>36</v>
      </c>
      <c r="C72" s="1690">
        <f>SUM(C67:C71)</f>
        <v>295378</v>
      </c>
      <c r="D72" s="1690">
        <f t="shared" ref="D72:K72" si="9">SUM(D67:D71)</f>
        <v>68110</v>
      </c>
      <c r="E72" s="1690">
        <f t="shared" si="9"/>
        <v>176296</v>
      </c>
      <c r="F72" s="1690">
        <f t="shared" si="9"/>
        <v>15878</v>
      </c>
      <c r="G72" s="1690">
        <f t="shared" si="9"/>
        <v>0</v>
      </c>
      <c r="H72" s="1690">
        <f t="shared" si="9"/>
        <v>9184</v>
      </c>
      <c r="I72" s="1690">
        <f t="shared" si="9"/>
        <v>0</v>
      </c>
      <c r="J72" s="1690">
        <f t="shared" si="9"/>
        <v>0</v>
      </c>
      <c r="K72" s="1690">
        <f t="shared" si="9"/>
        <v>564846</v>
      </c>
      <c r="L72" s="1690">
        <f>SUM(L67:L71)</f>
        <v>617999</v>
      </c>
      <c r="M72" s="610"/>
      <c r="N72" s="610"/>
    </row>
    <row r="73" spans="1:14" s="343" customFormat="1" ht="14.25" thickTop="1" thickBot="1" x14ac:dyDescent="0.25">
      <c r="A73" s="1530" t="s">
        <v>1037</v>
      </c>
      <c r="B73" s="633" t="s">
        <v>595</v>
      </c>
      <c r="C73" s="573">
        <v>133859</v>
      </c>
      <c r="D73" s="573">
        <v>22748</v>
      </c>
      <c r="E73" s="573">
        <v>1341</v>
      </c>
      <c r="F73" s="573"/>
      <c r="G73" s="573"/>
      <c r="H73" s="573"/>
      <c r="I73" s="531"/>
      <c r="J73" s="531">
        <v>3100</v>
      </c>
      <c r="K73" s="1690">
        <f>SUM(C73:J73)</f>
        <v>161048</v>
      </c>
      <c r="L73" s="576">
        <v>170051</v>
      </c>
      <c r="M73" s="610"/>
      <c r="N73" s="610"/>
    </row>
    <row r="74" spans="1:14" ht="12.75" customHeight="1" thickTop="1" thickBot="1" x14ac:dyDescent="0.25">
      <c r="A74" s="1688" t="s">
        <v>865</v>
      </c>
      <c r="B74" s="1696">
        <v>2000</v>
      </c>
      <c r="C74" s="1697">
        <f>SUM(C42,C47,C53,C57,C65,C72,C73)</f>
        <v>8895524</v>
      </c>
      <c r="D74" s="1697">
        <f t="shared" ref="D74:K74" si="10">SUM(D42,D47,D53,D57,D65,D72,D73)</f>
        <v>2435610</v>
      </c>
      <c r="E74" s="1697">
        <f t="shared" si="10"/>
        <v>1784560</v>
      </c>
      <c r="F74" s="1697">
        <f t="shared" si="10"/>
        <v>1745131</v>
      </c>
      <c r="G74" s="1697">
        <f t="shared" si="10"/>
        <v>175172</v>
      </c>
      <c r="H74" s="1697">
        <f t="shared" si="10"/>
        <v>193481</v>
      </c>
      <c r="I74" s="1697">
        <f t="shared" si="10"/>
        <v>268176</v>
      </c>
      <c r="J74" s="1697">
        <f t="shared" si="10"/>
        <v>15353</v>
      </c>
      <c r="K74" s="1697">
        <f t="shared" si="10"/>
        <v>15513007</v>
      </c>
      <c r="L74" s="1697">
        <f>SUM(L42,L47,L53,L57,L65,L72,L73)</f>
        <v>16016604</v>
      </c>
    </row>
    <row r="75" spans="1:14" s="259" customFormat="1" ht="15.75" customHeight="1" thickTop="1" thickBot="1" x14ac:dyDescent="0.25">
      <c r="A75" s="1630" t="s">
        <v>49</v>
      </c>
      <c r="B75" s="1631" t="s">
        <v>596</v>
      </c>
      <c r="C75" s="573">
        <v>32760</v>
      </c>
      <c r="D75" s="573">
        <v>4163</v>
      </c>
      <c r="E75" s="573">
        <v>38388</v>
      </c>
      <c r="F75" s="573">
        <v>57322</v>
      </c>
      <c r="G75" s="573"/>
      <c r="H75" s="573">
        <v>246</v>
      </c>
      <c r="I75" s="531"/>
      <c r="J75" s="531"/>
      <c r="K75" s="1690">
        <f>SUM(C75:J75)</f>
        <v>132879</v>
      </c>
      <c r="L75" s="576">
        <v>408986</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c r="F78" s="617"/>
      <c r="G78" s="617"/>
      <c r="H78" s="635"/>
      <c r="I78" s="477"/>
      <c r="J78" s="477"/>
      <c r="K78" s="1691">
        <f t="shared" ref="K78:K83" si="11">SUM(C78:J78)</f>
        <v>0</v>
      </c>
      <c r="L78" s="481">
        <v>0</v>
      </c>
    </row>
    <row r="79" spans="1:14" x14ac:dyDescent="0.2">
      <c r="A79" s="1524" t="s">
        <v>322</v>
      </c>
      <c r="B79" s="615">
        <v>4120</v>
      </c>
      <c r="C79" s="617"/>
      <c r="D79" s="617"/>
      <c r="E79" s="466">
        <v>341234</v>
      </c>
      <c r="F79" s="617"/>
      <c r="G79" s="617"/>
      <c r="H79" s="466"/>
      <c r="I79" s="477"/>
      <c r="J79" s="477"/>
      <c r="K79" s="1691">
        <f t="shared" si="11"/>
        <v>341234</v>
      </c>
      <c r="L79" s="466">
        <v>185000</v>
      </c>
    </row>
    <row r="80" spans="1:14" x14ac:dyDescent="0.2">
      <c r="A80" s="1524" t="s">
        <v>323</v>
      </c>
      <c r="B80" s="615">
        <v>4130</v>
      </c>
      <c r="C80" s="617"/>
      <c r="D80" s="617"/>
      <c r="E80" s="466"/>
      <c r="F80" s="617"/>
      <c r="G80" s="617"/>
      <c r="H80" s="466"/>
      <c r="I80" s="477"/>
      <c r="J80" s="477"/>
      <c r="K80" s="1691">
        <f t="shared" si="11"/>
        <v>0</v>
      </c>
      <c r="L80" s="466">
        <v>0</v>
      </c>
    </row>
    <row r="81" spans="1:12" x14ac:dyDescent="0.2">
      <c r="A81" s="1524" t="s">
        <v>721</v>
      </c>
      <c r="B81" s="615">
        <v>4140</v>
      </c>
      <c r="C81" s="617"/>
      <c r="D81" s="617"/>
      <c r="E81" s="466">
        <v>114664</v>
      </c>
      <c r="F81" s="617"/>
      <c r="G81" s="617"/>
      <c r="H81" s="466"/>
      <c r="I81" s="477"/>
      <c r="J81" s="477"/>
      <c r="K81" s="1691">
        <f t="shared" si="11"/>
        <v>114664</v>
      </c>
      <c r="L81" s="466">
        <v>133000</v>
      </c>
    </row>
    <row r="82" spans="1:12" x14ac:dyDescent="0.2">
      <c r="A82" s="1524" t="s">
        <v>88</v>
      </c>
      <c r="B82" s="615">
        <v>4170</v>
      </c>
      <c r="C82" s="617"/>
      <c r="D82" s="617"/>
      <c r="E82" s="466"/>
      <c r="F82" s="617"/>
      <c r="G82" s="617"/>
      <c r="H82" s="466"/>
      <c r="I82" s="477"/>
      <c r="J82" s="477"/>
      <c r="K82" s="1691">
        <f t="shared" si="11"/>
        <v>0</v>
      </c>
      <c r="L82" s="466">
        <v>0</v>
      </c>
    </row>
    <row r="83" spans="1:12" x14ac:dyDescent="0.2">
      <c r="A83" s="1528"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455898</v>
      </c>
      <c r="F84" s="617"/>
      <c r="G84" s="617"/>
      <c r="H84" s="1690">
        <f>SUM(H78:H83)</f>
        <v>0</v>
      </c>
      <c r="I84" s="477"/>
      <c r="J84" s="477"/>
      <c r="K84" s="1690">
        <f>SUM(K78:K83)</f>
        <v>455898</v>
      </c>
      <c r="L84" s="1690">
        <f>SUM(L78:L83)</f>
        <v>318000</v>
      </c>
    </row>
    <row r="85" spans="1:12" ht="12.75" customHeight="1" thickTop="1" thickBot="1" x14ac:dyDescent="0.25">
      <c r="A85" s="1531" t="s">
        <v>273</v>
      </c>
      <c r="B85" s="636">
        <v>4210</v>
      </c>
      <c r="C85" s="617"/>
      <c r="D85" s="617"/>
      <c r="E85" s="637"/>
      <c r="F85" s="617"/>
      <c r="G85" s="617"/>
      <c r="H85" s="535">
        <v>3253</v>
      </c>
      <c r="I85" s="477"/>
      <c r="J85" s="477"/>
      <c r="K85" s="1697">
        <f>H85</f>
        <v>3253</v>
      </c>
      <c r="L85" s="530">
        <v>3000</v>
      </c>
    </row>
    <row r="86" spans="1:12" ht="12.75" customHeight="1" thickTop="1" thickBot="1" x14ac:dyDescent="0.25">
      <c r="A86" s="1532" t="s">
        <v>723</v>
      </c>
      <c r="B86" s="638">
        <v>4220</v>
      </c>
      <c r="C86" s="617"/>
      <c r="D86" s="617"/>
      <c r="E86" s="639"/>
      <c r="F86" s="617"/>
      <c r="G86" s="617"/>
      <c r="H86" s="467"/>
      <c r="I86" s="477"/>
      <c r="J86" s="477"/>
      <c r="K86" s="1697">
        <f t="shared" ref="K86:K98" si="12">H86</f>
        <v>0</v>
      </c>
      <c r="L86" s="530">
        <v>50000</v>
      </c>
    </row>
    <row r="87" spans="1:12" ht="14.25" thickTop="1" thickBot="1" x14ac:dyDescent="0.25">
      <c r="A87" s="1533" t="s">
        <v>724</v>
      </c>
      <c r="B87" s="640">
        <v>4230</v>
      </c>
      <c r="C87" s="617"/>
      <c r="D87" s="617"/>
      <c r="E87" s="639"/>
      <c r="F87" s="617"/>
      <c r="G87" s="617"/>
      <c r="H87" s="467"/>
      <c r="I87" s="477"/>
      <c r="J87" s="477"/>
      <c r="K87" s="1697">
        <f t="shared" si="12"/>
        <v>0</v>
      </c>
      <c r="L87" s="530">
        <v>0</v>
      </c>
    </row>
    <row r="88" spans="1:12" ht="12.75" customHeight="1" thickTop="1" thickBot="1" x14ac:dyDescent="0.25">
      <c r="A88" s="1533" t="s">
        <v>789</v>
      </c>
      <c r="B88" s="640">
        <v>4240</v>
      </c>
      <c r="C88" s="617"/>
      <c r="D88" s="617"/>
      <c r="E88" s="639"/>
      <c r="F88" s="617"/>
      <c r="G88" s="617"/>
      <c r="H88" s="467">
        <v>218084</v>
      </c>
      <c r="I88" s="477"/>
      <c r="J88" s="477"/>
      <c r="K88" s="1697">
        <f t="shared" si="12"/>
        <v>218084</v>
      </c>
      <c r="L88" s="530">
        <v>203800</v>
      </c>
    </row>
    <row r="89" spans="1:12" ht="12.75" customHeight="1" thickTop="1" thickBot="1" x14ac:dyDescent="0.25">
      <c r="A89" s="1533" t="s">
        <v>725</v>
      </c>
      <c r="B89" s="640">
        <v>4270</v>
      </c>
      <c r="C89" s="617"/>
      <c r="D89" s="617"/>
      <c r="E89" s="639"/>
      <c r="F89" s="617"/>
      <c r="G89" s="617"/>
      <c r="H89" s="467"/>
      <c r="I89" s="477"/>
      <c r="J89" s="477"/>
      <c r="K89" s="1697">
        <f t="shared" si="12"/>
        <v>0</v>
      </c>
      <c r="L89" s="530">
        <v>0</v>
      </c>
    </row>
    <row r="90" spans="1:12" ht="12.75" customHeight="1" thickTop="1" thickBot="1" x14ac:dyDescent="0.25">
      <c r="A90" s="1533" t="s">
        <v>710</v>
      </c>
      <c r="B90" s="640">
        <v>4280</v>
      </c>
      <c r="C90" s="617"/>
      <c r="D90" s="617"/>
      <c r="E90" s="639"/>
      <c r="F90" s="617"/>
      <c r="G90" s="617"/>
      <c r="H90" s="467"/>
      <c r="I90" s="477"/>
      <c r="J90" s="477"/>
      <c r="K90" s="1697">
        <f t="shared" si="12"/>
        <v>0</v>
      </c>
      <c r="L90" s="530">
        <v>0</v>
      </c>
    </row>
    <row r="91" spans="1:12" ht="12.75" customHeight="1" thickTop="1" thickBot="1" x14ac:dyDescent="0.25">
      <c r="A91" s="1533"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221337</v>
      </c>
      <c r="I92" s="477"/>
      <c r="J92" s="477"/>
      <c r="K92" s="1697">
        <f t="shared" si="12"/>
        <v>221337</v>
      </c>
      <c r="L92" s="1690">
        <f>SUM(L85:L91)</f>
        <v>256800</v>
      </c>
    </row>
    <row r="93" spans="1:12" ht="14.25" thickTop="1" thickBot="1" x14ac:dyDescent="0.25">
      <c r="A93" s="1532" t="s">
        <v>712</v>
      </c>
      <c r="B93" s="641">
        <v>4310</v>
      </c>
      <c r="C93" s="617"/>
      <c r="D93" s="617"/>
      <c r="E93" s="639"/>
      <c r="F93" s="617"/>
      <c r="G93" s="617"/>
      <c r="H93" s="642"/>
      <c r="I93" s="477"/>
      <c r="J93" s="477"/>
      <c r="K93" s="1697">
        <f t="shared" si="12"/>
        <v>0</v>
      </c>
      <c r="L93" s="532">
        <v>0</v>
      </c>
    </row>
    <row r="94" spans="1:12" ht="12.75" customHeight="1" thickTop="1" thickBot="1" x14ac:dyDescent="0.25">
      <c r="A94" s="1533" t="s">
        <v>713</v>
      </c>
      <c r="B94" s="640">
        <v>4320</v>
      </c>
      <c r="C94" s="617"/>
      <c r="D94" s="617"/>
      <c r="E94" s="639"/>
      <c r="F94" s="617"/>
      <c r="G94" s="617"/>
      <c r="H94" s="467"/>
      <c r="I94" s="477"/>
      <c r="J94" s="477"/>
      <c r="K94" s="1697">
        <f t="shared" si="12"/>
        <v>0</v>
      </c>
      <c r="L94" s="530">
        <v>0</v>
      </c>
    </row>
    <row r="95" spans="1:12" ht="15" customHeight="1" thickTop="1" thickBot="1" x14ac:dyDescent="0.25">
      <c r="A95" s="1533" t="s">
        <v>1568</v>
      </c>
      <c r="B95" s="640">
        <v>4330</v>
      </c>
      <c r="C95" s="617"/>
      <c r="D95" s="617"/>
      <c r="E95" s="639"/>
      <c r="F95" s="617"/>
      <c r="G95" s="617"/>
      <c r="H95" s="467"/>
      <c r="I95" s="477"/>
      <c r="J95" s="477"/>
      <c r="K95" s="1697">
        <f t="shared" si="12"/>
        <v>0</v>
      </c>
      <c r="L95" s="530">
        <v>0</v>
      </c>
    </row>
    <row r="96" spans="1:12" ht="14.25" thickTop="1" thickBot="1" x14ac:dyDescent="0.25">
      <c r="A96" s="1533" t="s">
        <v>714</v>
      </c>
      <c r="B96" s="640">
        <v>4340</v>
      </c>
      <c r="C96" s="617"/>
      <c r="D96" s="617"/>
      <c r="E96" s="639"/>
      <c r="F96" s="617"/>
      <c r="G96" s="617"/>
      <c r="H96" s="467"/>
      <c r="I96" s="477"/>
      <c r="J96" s="477"/>
      <c r="K96" s="1697">
        <f t="shared" si="12"/>
        <v>0</v>
      </c>
      <c r="L96" s="530">
        <v>0</v>
      </c>
    </row>
    <row r="97" spans="1:14" ht="12.75" customHeight="1" thickTop="1" thickBot="1" x14ac:dyDescent="0.25">
      <c r="A97" s="1533" t="s">
        <v>787</v>
      </c>
      <c r="B97" s="640">
        <v>4370</v>
      </c>
      <c r="C97" s="617"/>
      <c r="D97" s="617"/>
      <c r="E97" s="639"/>
      <c r="F97" s="617"/>
      <c r="G97" s="617"/>
      <c r="H97" s="467"/>
      <c r="I97" s="477"/>
      <c r="J97" s="477"/>
      <c r="K97" s="1697">
        <f t="shared" si="12"/>
        <v>0</v>
      </c>
      <c r="L97" s="530">
        <v>0</v>
      </c>
    </row>
    <row r="98" spans="1:14" ht="14.25" thickTop="1" thickBot="1" x14ac:dyDescent="0.25">
      <c r="A98" s="1533" t="s">
        <v>788</v>
      </c>
      <c r="B98" s="640">
        <v>4380</v>
      </c>
      <c r="C98" s="617"/>
      <c r="D98" s="617"/>
      <c r="E98" s="643"/>
      <c r="F98" s="617"/>
      <c r="G98" s="617"/>
      <c r="H98" s="467"/>
      <c r="I98" s="477"/>
      <c r="J98" s="477"/>
      <c r="K98" s="1697">
        <f t="shared" si="12"/>
        <v>0</v>
      </c>
      <c r="L98" s="530">
        <v>0</v>
      </c>
    </row>
    <row r="99" spans="1:14" ht="14.25" thickTop="1" thickBot="1" x14ac:dyDescent="0.25">
      <c r="A99" s="1533"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455898</v>
      </c>
      <c r="F102" s="617"/>
      <c r="G102" s="617"/>
      <c r="H102" s="1697">
        <f>SUM(H84,H92,H100,H101)</f>
        <v>221337</v>
      </c>
      <c r="I102" s="477"/>
      <c r="J102" s="477"/>
      <c r="K102" s="1697">
        <f>SUM(K84,K92,K100,K101)</f>
        <v>677235</v>
      </c>
      <c r="L102" s="1697">
        <f>SUM(L84,L92,L100,L101)</f>
        <v>574800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v>0</v>
      </c>
      <c r="M105" s="210"/>
      <c r="N105" s="210"/>
    </row>
    <row r="106" spans="1:14" s="598" customFormat="1" x14ac:dyDescent="0.2">
      <c r="A106" s="1524"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4"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4"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4"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25969738</v>
      </c>
      <c r="D114" s="1690">
        <f t="shared" ref="D114:K114" si="13">SUM(D33,D74,D75,D102,D112,D113)</f>
        <v>6554442</v>
      </c>
      <c r="E114" s="1690">
        <f t="shared" si="13"/>
        <v>3033887</v>
      </c>
      <c r="F114" s="1690">
        <f t="shared" si="13"/>
        <v>2799966</v>
      </c>
      <c r="G114" s="1690">
        <f t="shared" si="13"/>
        <v>281021</v>
      </c>
      <c r="H114" s="1690">
        <f>SUM(H33,H74,H75,H102,H112,H113)</f>
        <v>1284186</v>
      </c>
      <c r="I114" s="1690">
        <f t="shared" si="13"/>
        <v>380077</v>
      </c>
      <c r="J114" s="1690">
        <f t="shared" si="13"/>
        <v>19013</v>
      </c>
      <c r="K114" s="1690">
        <f t="shared" si="13"/>
        <v>40322330</v>
      </c>
      <c r="L114" s="1690">
        <f>SUM(L33,L74,L75,L102,L112,L113)</f>
        <v>39980549</v>
      </c>
    </row>
    <row r="115" spans="1:14" ht="13.5" thickTop="1" x14ac:dyDescent="0.2">
      <c r="A115" s="2199" t="s">
        <v>1053</v>
      </c>
      <c r="B115" s="2200"/>
      <c r="C115" s="619"/>
      <c r="D115" s="619"/>
      <c r="E115" s="619"/>
      <c r="F115" s="619"/>
      <c r="G115" s="619"/>
      <c r="H115" s="619"/>
      <c r="I115" s="619"/>
      <c r="J115" s="619"/>
      <c r="K115" s="1704">
        <f>'Revenues 9-14'!C275-'Expenditures 15-22'!K114</f>
        <v>313692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4" t="s">
        <v>314</v>
      </c>
      <c r="B117" s="2205"/>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4" t="s">
        <v>1128</v>
      </c>
      <c r="B122" s="615">
        <v>2510</v>
      </c>
      <c r="C122" s="466"/>
      <c r="D122" s="466"/>
      <c r="E122" s="466"/>
      <c r="F122" s="466"/>
      <c r="G122" s="466"/>
      <c r="H122" s="466">
        <v>2817</v>
      </c>
      <c r="I122" s="467"/>
      <c r="J122" s="467"/>
      <c r="K122" s="1690">
        <f>SUM(C122:J122)</f>
        <v>2817</v>
      </c>
      <c r="L122" s="466">
        <v>2181</v>
      </c>
    </row>
    <row r="123" spans="1:14" ht="14.25" thickTop="1" thickBot="1" x14ac:dyDescent="0.25">
      <c r="A123" s="1524" t="s">
        <v>4</v>
      </c>
      <c r="B123" s="615">
        <v>2530</v>
      </c>
      <c r="C123" s="466"/>
      <c r="D123" s="466"/>
      <c r="E123" s="466"/>
      <c r="F123" s="466"/>
      <c r="G123" s="466"/>
      <c r="H123" s="466"/>
      <c r="I123" s="467"/>
      <c r="J123" s="467"/>
      <c r="K123" s="1690">
        <f>SUM(C123:J123)</f>
        <v>0</v>
      </c>
      <c r="L123" s="466">
        <v>0</v>
      </c>
    </row>
    <row r="124" spans="1:14" ht="14.25" thickTop="1" thickBot="1" x14ac:dyDescent="0.25">
      <c r="A124" s="1524" t="s">
        <v>206</v>
      </c>
      <c r="B124" s="615">
        <v>2540</v>
      </c>
      <c r="C124" s="466">
        <v>1725020</v>
      </c>
      <c r="D124" s="466">
        <v>338085</v>
      </c>
      <c r="E124" s="466">
        <v>723964</v>
      </c>
      <c r="F124" s="466">
        <v>1178141</v>
      </c>
      <c r="G124" s="466">
        <v>102987</v>
      </c>
      <c r="H124" s="466"/>
      <c r="I124" s="467">
        <v>4999</v>
      </c>
      <c r="J124" s="467"/>
      <c r="K124" s="1690">
        <f>SUM(C124:J124)</f>
        <v>4073196</v>
      </c>
      <c r="L124" s="466">
        <v>4165852</v>
      </c>
    </row>
    <row r="125" spans="1:14" ht="14.25" thickTop="1" thickBot="1" x14ac:dyDescent="0.25">
      <c r="A125" s="1524" t="s">
        <v>1010</v>
      </c>
      <c r="B125" s="615">
        <v>2550</v>
      </c>
      <c r="C125" s="466"/>
      <c r="D125" s="466"/>
      <c r="E125" s="466"/>
      <c r="F125" s="466"/>
      <c r="G125" s="466"/>
      <c r="H125" s="466"/>
      <c r="I125" s="467"/>
      <c r="J125" s="467"/>
      <c r="K125" s="1690">
        <f>SUM(C125:J125)</f>
        <v>0</v>
      </c>
      <c r="L125" s="466">
        <v>0</v>
      </c>
    </row>
    <row r="126" spans="1:14" ht="14.25" thickTop="1" thickBot="1" x14ac:dyDescent="0.25">
      <c r="A126" s="1524"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1725020</v>
      </c>
      <c r="D127" s="1690">
        <f t="shared" ref="D127:L127" si="14">SUM(D122:D126)</f>
        <v>338085</v>
      </c>
      <c r="E127" s="1690">
        <f t="shared" si="14"/>
        <v>723964</v>
      </c>
      <c r="F127" s="1690">
        <f t="shared" si="14"/>
        <v>1178141</v>
      </c>
      <c r="G127" s="1690">
        <f t="shared" si="14"/>
        <v>102987</v>
      </c>
      <c r="H127" s="1690">
        <f t="shared" si="14"/>
        <v>2817</v>
      </c>
      <c r="I127" s="1690">
        <f t="shared" si="14"/>
        <v>4999</v>
      </c>
      <c r="J127" s="1690">
        <f t="shared" si="14"/>
        <v>0</v>
      </c>
      <c r="K127" s="1690">
        <f t="shared" si="14"/>
        <v>4076013</v>
      </c>
      <c r="L127" s="1690">
        <f t="shared" si="14"/>
        <v>4168033</v>
      </c>
    </row>
    <row r="128" spans="1:14" ht="12.75" customHeight="1" thickTop="1" x14ac:dyDescent="0.2">
      <c r="A128" s="1531"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1725020</v>
      </c>
      <c r="D129" s="1697">
        <f t="shared" ref="D129:L129" si="15">SUM(D120,D127,D128)</f>
        <v>338085</v>
      </c>
      <c r="E129" s="1697">
        <f t="shared" si="15"/>
        <v>723964</v>
      </c>
      <c r="F129" s="1697">
        <f t="shared" si="15"/>
        <v>1178141</v>
      </c>
      <c r="G129" s="1697">
        <f t="shared" si="15"/>
        <v>102987</v>
      </c>
      <c r="H129" s="1697">
        <f t="shared" si="15"/>
        <v>2817</v>
      </c>
      <c r="I129" s="1697">
        <f t="shared" si="15"/>
        <v>4999</v>
      </c>
      <c r="J129" s="1697">
        <f t="shared" si="15"/>
        <v>0</v>
      </c>
      <c r="K129" s="1697">
        <f t="shared" si="15"/>
        <v>4076013</v>
      </c>
      <c r="L129" s="1697">
        <f t="shared" si="15"/>
        <v>4168033</v>
      </c>
    </row>
    <row r="130" spans="1:14" ht="15.75" customHeight="1" thickTop="1" thickBot="1" x14ac:dyDescent="0.25">
      <c r="A130" s="1630" t="s">
        <v>1096</v>
      </c>
      <c r="B130" s="1631" t="s">
        <v>596</v>
      </c>
      <c r="C130" s="576"/>
      <c r="D130" s="576"/>
      <c r="E130" s="576"/>
      <c r="F130" s="576"/>
      <c r="G130" s="576"/>
      <c r="H130" s="576"/>
      <c r="I130" s="531"/>
      <c r="J130" s="531"/>
      <c r="K130" s="1690">
        <f>SUM(C130:J130)</f>
        <v>0</v>
      </c>
      <c r="L130" s="576">
        <v>0</v>
      </c>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0" t="s">
        <v>517</v>
      </c>
      <c r="B133" s="1862" t="s">
        <v>1955</v>
      </c>
      <c r="C133" s="468"/>
      <c r="D133" s="468"/>
      <c r="E133" s="642"/>
      <c r="F133" s="468"/>
      <c r="G133" s="468"/>
      <c r="H133" s="642"/>
      <c r="I133" s="468"/>
      <c r="J133" s="468"/>
      <c r="K133" s="1842">
        <f>SUM(E133,H133)</f>
        <v>0</v>
      </c>
      <c r="L133" s="642">
        <v>0</v>
      </c>
      <c r="M133" s="206"/>
      <c r="N133" s="206"/>
    </row>
    <row r="134" spans="1:14" x14ac:dyDescent="0.2">
      <c r="A134" s="1524" t="s">
        <v>322</v>
      </c>
      <c r="B134" s="615">
        <v>4120</v>
      </c>
      <c r="C134" s="617"/>
      <c r="D134" s="617"/>
      <c r="E134" s="478"/>
      <c r="F134" s="617"/>
      <c r="G134" s="617"/>
      <c r="H134" s="481"/>
      <c r="I134" s="477"/>
      <c r="J134" s="617"/>
      <c r="K134" s="1692">
        <f>SUM(E134,H134)</f>
        <v>0</v>
      </c>
      <c r="L134" s="481">
        <v>0</v>
      </c>
    </row>
    <row r="135" spans="1:14" x14ac:dyDescent="0.2">
      <c r="A135" s="1524" t="s">
        <v>721</v>
      </c>
      <c r="B135" s="615">
        <v>4140</v>
      </c>
      <c r="C135" s="617"/>
      <c r="D135" s="617"/>
      <c r="E135" s="467"/>
      <c r="F135" s="617"/>
      <c r="G135" s="617"/>
      <c r="H135" s="466"/>
      <c r="I135" s="477"/>
      <c r="J135" s="617"/>
      <c r="K135" s="1692">
        <f>SUM(E135,H135)</f>
        <v>0</v>
      </c>
      <c r="L135" s="466">
        <v>0</v>
      </c>
    </row>
    <row r="136" spans="1:14" x14ac:dyDescent="0.2">
      <c r="A136" s="1528"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1097</v>
      </c>
      <c r="B140" s="1633"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v>0</v>
      </c>
    </row>
    <row r="143" spans="1:14" x14ac:dyDescent="0.2">
      <c r="A143" s="1524" t="s">
        <v>90</v>
      </c>
      <c r="B143" s="615">
        <v>5120</v>
      </c>
      <c r="C143" s="617"/>
      <c r="D143" s="617"/>
      <c r="E143" s="617"/>
      <c r="F143" s="617"/>
      <c r="G143" s="617"/>
      <c r="H143" s="466"/>
      <c r="I143" s="468"/>
      <c r="J143" s="617"/>
      <c r="K143" s="1692">
        <f>SUM(H143)</f>
        <v>0</v>
      </c>
      <c r="L143" s="466">
        <v>0</v>
      </c>
    </row>
    <row r="144" spans="1:14" ht="12.75" customHeight="1" x14ac:dyDescent="0.2">
      <c r="A144" s="1524" t="s">
        <v>1232</v>
      </c>
      <c r="B144" s="629" t="s">
        <v>638</v>
      </c>
      <c r="C144" s="617"/>
      <c r="D144" s="617"/>
      <c r="E144" s="617"/>
      <c r="F144" s="617"/>
      <c r="G144" s="617"/>
      <c r="H144" s="466"/>
      <c r="I144" s="468"/>
      <c r="J144" s="617"/>
      <c r="K144" s="1692">
        <f>SUM(H144)</f>
        <v>0</v>
      </c>
      <c r="L144" s="466">
        <v>0</v>
      </c>
    </row>
    <row r="145" spans="1:14" x14ac:dyDescent="0.2">
      <c r="A145" s="1524" t="s">
        <v>91</v>
      </c>
      <c r="B145" s="615" t="s">
        <v>610</v>
      </c>
      <c r="C145" s="617"/>
      <c r="D145" s="617"/>
      <c r="E145" s="617"/>
      <c r="F145" s="617"/>
      <c r="G145" s="617"/>
      <c r="H145" s="466"/>
      <c r="I145" s="468"/>
      <c r="J145" s="617"/>
      <c r="K145" s="1692">
        <f>SUM(H145)</f>
        <v>0</v>
      </c>
      <c r="L145" s="466">
        <v>0</v>
      </c>
    </row>
    <row r="146" spans="1:14" ht="12.75" customHeight="1" x14ac:dyDescent="0.2">
      <c r="A146" s="1524" t="s">
        <v>640</v>
      </c>
      <c r="B146" s="615" t="s">
        <v>639</v>
      </c>
      <c r="C146" s="617"/>
      <c r="D146" s="617"/>
      <c r="E146" s="617"/>
      <c r="F146" s="617"/>
      <c r="G146" s="617"/>
      <c r="H146" s="466"/>
      <c r="I146" s="468"/>
      <c r="J146" s="617"/>
      <c r="K146" s="1692">
        <f>SUM(H146)</f>
        <v>0</v>
      </c>
      <c r="L146" s="466">
        <v>0</v>
      </c>
    </row>
    <row r="147" spans="1:14" ht="12.75" customHeight="1" thickBot="1" x14ac:dyDescent="0.25">
      <c r="A147" s="1535"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7"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1098</v>
      </c>
      <c r="B150" s="1633" t="s">
        <v>916</v>
      </c>
      <c r="C150" s="617"/>
      <c r="D150" s="617"/>
      <c r="E150" s="617"/>
      <c r="F150" s="617"/>
      <c r="G150" s="617"/>
      <c r="H150" s="663"/>
      <c r="I150" s="521"/>
      <c r="J150" s="617"/>
      <c r="K150" s="624"/>
      <c r="L150" s="573">
        <v>0</v>
      </c>
    </row>
    <row r="151" spans="1:14" ht="12.75" customHeight="1" thickTop="1" thickBot="1" x14ac:dyDescent="0.25">
      <c r="A151" s="2216" t="s">
        <v>641</v>
      </c>
      <c r="B151" s="2196"/>
      <c r="C151" s="1690">
        <f>SUM(C129,C130,C139,C149,C150)</f>
        <v>1725020</v>
      </c>
      <c r="D151" s="1690">
        <f t="shared" ref="D151:K151" si="16">SUM(D129,D130,D139,D149,D150)</f>
        <v>338085</v>
      </c>
      <c r="E151" s="1690">
        <f t="shared" si="16"/>
        <v>723964</v>
      </c>
      <c r="F151" s="1690">
        <f t="shared" si="16"/>
        <v>1178141</v>
      </c>
      <c r="G151" s="1690">
        <f t="shared" si="16"/>
        <v>102987</v>
      </c>
      <c r="H151" s="1690">
        <f t="shared" si="16"/>
        <v>2817</v>
      </c>
      <c r="I151" s="1690">
        <f t="shared" si="16"/>
        <v>4999</v>
      </c>
      <c r="J151" s="1690">
        <f t="shared" si="16"/>
        <v>0</v>
      </c>
      <c r="K151" s="1690">
        <f t="shared" si="16"/>
        <v>4076013</v>
      </c>
      <c r="L151" s="1690">
        <f>SUM(L129,L130,L139,L149,L150)</f>
        <v>4168033</v>
      </c>
    </row>
    <row r="152" spans="1:14" ht="12.75" customHeight="1" thickTop="1" x14ac:dyDescent="0.2">
      <c r="A152" s="2219" t="s">
        <v>1240</v>
      </c>
      <c r="B152" s="2220"/>
      <c r="C152" s="619"/>
      <c r="D152" s="619"/>
      <c r="E152" s="619"/>
      <c r="F152" s="619"/>
      <c r="G152" s="619"/>
      <c r="H152" s="619"/>
      <c r="I152" s="619"/>
      <c r="J152" s="617"/>
      <c r="K152" s="1704">
        <f>'Revenues 9-14'!D275-'Expenditures 15-22'!K151</f>
        <v>222355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4" t="s">
        <v>642</v>
      </c>
      <c r="B154" s="2206"/>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915</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517</v>
      </c>
      <c r="B157" s="1848" t="s">
        <v>1955</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1957</v>
      </c>
      <c r="C158" s="617"/>
      <c r="D158" s="617"/>
      <c r="E158" s="617"/>
      <c r="F158" s="617"/>
      <c r="G158" s="617"/>
      <c r="H158" s="467"/>
      <c r="I158" s="617"/>
      <c r="J158" s="617"/>
      <c r="K158" s="1691">
        <f>H158</f>
        <v>0</v>
      </c>
      <c r="L158" s="467">
        <v>0</v>
      </c>
      <c r="M158" s="620"/>
      <c r="N158" s="620"/>
    </row>
    <row r="159" spans="1:14" s="621" customFormat="1" ht="12" x14ac:dyDescent="0.2">
      <c r="A159" s="1847" t="s">
        <v>1958</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1959</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v>0</v>
      </c>
    </row>
    <row r="164" spans="1:14" x14ac:dyDescent="0.2">
      <c r="A164" s="1524" t="s">
        <v>90</v>
      </c>
      <c r="B164" s="615">
        <v>5120</v>
      </c>
      <c r="C164" s="617"/>
      <c r="D164" s="617"/>
      <c r="E164" s="617"/>
      <c r="F164" s="617"/>
      <c r="G164" s="617"/>
      <c r="H164" s="466"/>
      <c r="I164" s="617"/>
      <c r="J164" s="617"/>
      <c r="K164" s="1691">
        <f>SUM(C164:J164)</f>
        <v>0</v>
      </c>
      <c r="L164" s="466">
        <v>0</v>
      </c>
    </row>
    <row r="165" spans="1:14" ht="12.75" customHeight="1" x14ac:dyDescent="0.2">
      <c r="A165" s="1524" t="s">
        <v>1232</v>
      </c>
      <c r="B165" s="615" t="s">
        <v>638</v>
      </c>
      <c r="C165" s="617"/>
      <c r="D165" s="617"/>
      <c r="E165" s="617"/>
      <c r="F165" s="617"/>
      <c r="G165" s="617"/>
      <c r="H165" s="466"/>
      <c r="I165" s="617"/>
      <c r="J165" s="617"/>
      <c r="K165" s="1691">
        <f>SUM(C165:J165)</f>
        <v>0</v>
      </c>
      <c r="L165" s="466">
        <v>0</v>
      </c>
    </row>
    <row r="166" spans="1:14" x14ac:dyDescent="0.2">
      <c r="A166" s="1524" t="s">
        <v>91</v>
      </c>
      <c r="B166" s="629" t="s">
        <v>610</v>
      </c>
      <c r="C166" s="617"/>
      <c r="D166" s="617"/>
      <c r="E166" s="617"/>
      <c r="F166" s="617"/>
      <c r="G166" s="617"/>
      <c r="H166" s="466"/>
      <c r="I166" s="617"/>
      <c r="J166" s="617"/>
      <c r="K166" s="1691">
        <f>SUM(C166:J166)</f>
        <v>0</v>
      </c>
      <c r="L166" s="466">
        <v>0</v>
      </c>
    </row>
    <row r="167" spans="1:14" ht="12.75" customHeight="1" x14ac:dyDescent="0.2">
      <c r="A167" s="1524"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1791340</v>
      </c>
      <c r="I169" s="617"/>
      <c r="J169" s="617"/>
      <c r="K169" s="1691">
        <f>SUM(C169:H169)</f>
        <v>1791340</v>
      </c>
      <c r="L169" s="657">
        <v>1622135</v>
      </c>
    </row>
    <row r="170" spans="1:14" ht="33.75" customHeight="1" x14ac:dyDescent="0.2">
      <c r="A170" s="670" t="s">
        <v>1769</v>
      </c>
      <c r="B170" s="672" t="s">
        <v>31</v>
      </c>
      <c r="C170" s="617"/>
      <c r="D170" s="617"/>
      <c r="E170" s="617"/>
      <c r="F170" s="617"/>
      <c r="G170" s="617"/>
      <c r="H170" s="569">
        <v>1080431</v>
      </c>
      <c r="I170" s="617"/>
      <c r="J170" s="617"/>
      <c r="K170" s="1691">
        <f>SUM(C170:J170)</f>
        <v>1080431</v>
      </c>
      <c r="L170" s="569">
        <v>1080431</v>
      </c>
    </row>
    <row r="171" spans="1:14" ht="15.75" customHeight="1" x14ac:dyDescent="0.2">
      <c r="A171" s="622" t="s">
        <v>790</v>
      </c>
      <c r="B171" s="673" t="s">
        <v>86</v>
      </c>
      <c r="C171" s="617"/>
      <c r="D171" s="617"/>
      <c r="E171" s="466"/>
      <c r="F171" s="617"/>
      <c r="G171" s="617"/>
      <c r="H171" s="569"/>
      <c r="I171" s="477"/>
      <c r="J171" s="617"/>
      <c r="K171" s="1691">
        <f>SUM(C171:J171)</f>
        <v>0</v>
      </c>
      <c r="L171" s="569">
        <v>0</v>
      </c>
    </row>
    <row r="172" spans="1:14" ht="12.75" customHeight="1" thickBot="1" x14ac:dyDescent="0.25">
      <c r="A172" s="1688" t="s">
        <v>659</v>
      </c>
      <c r="B172" s="1689" t="s">
        <v>513</v>
      </c>
      <c r="C172" s="617"/>
      <c r="D172" s="617"/>
      <c r="E172" s="1697">
        <f>SUM(E168,E169,E170,E171)</f>
        <v>0</v>
      </c>
      <c r="F172" s="617"/>
      <c r="G172" s="617"/>
      <c r="H172" s="1697">
        <f>SUM(H168,H169,H170,H171)</f>
        <v>2871771</v>
      </c>
      <c r="I172" s="639"/>
      <c r="J172" s="617"/>
      <c r="K172" s="1697">
        <f>SUM(K168,K169,K170,K171)</f>
        <v>2871771</v>
      </c>
      <c r="L172" s="1697">
        <f>SUM(L168,L169,L170,L171)</f>
        <v>2702566</v>
      </c>
    </row>
    <row r="173" spans="1:14" ht="15.75" customHeight="1" thickTop="1" thickBot="1" x14ac:dyDescent="0.25">
      <c r="A173" s="1639" t="s">
        <v>87</v>
      </c>
      <c r="B173" s="1631"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2871771</v>
      </c>
      <c r="I174" s="639"/>
      <c r="J174" s="617"/>
      <c r="K174" s="1697">
        <f>SUM(K160,K172,K173)</f>
        <v>2871771</v>
      </c>
      <c r="L174" s="1697">
        <f>SUM(L160,L172,L173)</f>
        <v>2702566</v>
      </c>
    </row>
    <row r="175" spans="1:14" ht="13.5" thickTop="1" x14ac:dyDescent="0.2">
      <c r="A175" s="2199" t="s">
        <v>1053</v>
      </c>
      <c r="B175" s="2200"/>
      <c r="C175" s="617"/>
      <c r="D175" s="617"/>
      <c r="E175" s="617"/>
      <c r="F175" s="617"/>
      <c r="G175" s="617"/>
      <c r="H175" s="619"/>
      <c r="I175" s="617"/>
      <c r="J175" s="617"/>
      <c r="K175" s="1704">
        <f>'Revenues 9-14'!E275-'Expenditures 15-22'!K174</f>
        <v>-260080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995</v>
      </c>
      <c r="B178" s="1641"/>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v>15364</v>
      </c>
      <c r="D180" s="466"/>
      <c r="E180" s="466"/>
      <c r="F180" s="466"/>
      <c r="G180" s="466"/>
      <c r="H180" s="466"/>
      <c r="I180" s="467"/>
      <c r="J180" s="467"/>
      <c r="K180" s="1691">
        <f>SUM(C180:J180)</f>
        <v>15364</v>
      </c>
      <c r="L180" s="466">
        <v>18830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4" t="s">
        <v>1010</v>
      </c>
      <c r="B182" s="615">
        <v>2550</v>
      </c>
      <c r="C182" s="466">
        <v>1446143</v>
      </c>
      <c r="D182" s="466">
        <v>360631</v>
      </c>
      <c r="E182" s="466">
        <v>166237</v>
      </c>
      <c r="F182" s="466">
        <v>381352</v>
      </c>
      <c r="G182" s="466">
        <v>866972</v>
      </c>
      <c r="H182" s="466">
        <v>1650</v>
      </c>
      <c r="I182" s="467"/>
      <c r="J182" s="467"/>
      <c r="K182" s="1691">
        <f>SUM(C182:J182)</f>
        <v>3222985</v>
      </c>
      <c r="L182" s="466">
        <v>3430929</v>
      </c>
    </row>
    <row r="183" spans="1:14" ht="12.75" customHeight="1" thickBot="1" x14ac:dyDescent="0.25">
      <c r="A183" s="1529" t="s">
        <v>1037</v>
      </c>
      <c r="B183" s="678">
        <v>2900</v>
      </c>
      <c r="C183" s="573">
        <v>22252</v>
      </c>
      <c r="D183" s="573">
        <v>5440</v>
      </c>
      <c r="E183" s="573">
        <v>3250</v>
      </c>
      <c r="F183" s="573">
        <v>24053</v>
      </c>
      <c r="G183" s="573"/>
      <c r="H183" s="573">
        <v>2551</v>
      </c>
      <c r="I183" s="532"/>
      <c r="J183" s="532"/>
      <c r="K183" s="1697">
        <f>SUM(C183:J183)</f>
        <v>57546</v>
      </c>
      <c r="L183" s="573">
        <v>55960</v>
      </c>
    </row>
    <row r="184" spans="1:14" ht="12.75" customHeight="1" thickTop="1" thickBot="1" x14ac:dyDescent="0.25">
      <c r="A184" s="1711" t="s">
        <v>865</v>
      </c>
      <c r="B184" s="1689" t="s">
        <v>590</v>
      </c>
      <c r="C184" s="1697">
        <f>SUM(C180,C182,C183)</f>
        <v>1483759</v>
      </c>
      <c r="D184" s="1697">
        <f t="shared" ref="D184:J184" si="17">SUM(D180,D182,D183)</f>
        <v>366071</v>
      </c>
      <c r="E184" s="1697">
        <f t="shared" si="17"/>
        <v>169487</v>
      </c>
      <c r="F184" s="1697">
        <f t="shared" si="17"/>
        <v>405405</v>
      </c>
      <c r="G184" s="1697">
        <f t="shared" si="17"/>
        <v>866972</v>
      </c>
      <c r="H184" s="1697">
        <f t="shared" si="17"/>
        <v>4201</v>
      </c>
      <c r="I184" s="1697">
        <f t="shared" si="17"/>
        <v>0</v>
      </c>
      <c r="J184" s="1697">
        <f t="shared" si="17"/>
        <v>0</v>
      </c>
      <c r="K184" s="1697">
        <f>SUM(K180,K182,K183)</f>
        <v>3295895</v>
      </c>
      <c r="L184" s="1697">
        <f>SUM(L180, L182:L183)</f>
        <v>3505719</v>
      </c>
    </row>
    <row r="185" spans="1:14" ht="15.75" customHeight="1" thickTop="1" thickBot="1" x14ac:dyDescent="0.25">
      <c r="A185" s="1642" t="s">
        <v>996</v>
      </c>
      <c r="B185" s="1631">
        <v>3000</v>
      </c>
      <c r="C185" s="576"/>
      <c r="D185" s="576"/>
      <c r="E185" s="576"/>
      <c r="F185" s="576"/>
      <c r="G185" s="576"/>
      <c r="H185" s="576"/>
      <c r="I185" s="531"/>
      <c r="J185" s="531"/>
      <c r="K185" s="1690">
        <f>SUM(C185:J185)</f>
        <v>0</v>
      </c>
      <c r="L185" s="576">
        <v>0</v>
      </c>
    </row>
    <row r="186" spans="1:14" s="675" customFormat="1" ht="15.75" customHeight="1" thickTop="1" x14ac:dyDescent="0.2">
      <c r="A186" s="1626" t="s">
        <v>93</v>
      </c>
      <c r="B186" s="1629"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4" t="s">
        <v>517</v>
      </c>
      <c r="B188" s="615">
        <v>4110</v>
      </c>
      <c r="C188" s="617"/>
      <c r="D188" s="617"/>
      <c r="E188" s="466"/>
      <c r="F188" s="617"/>
      <c r="G188" s="617"/>
      <c r="H188" s="466"/>
      <c r="I188" s="477"/>
      <c r="J188" s="617"/>
      <c r="K188" s="1691">
        <f t="shared" ref="K188:K193" si="18">SUM(E188,H188)</f>
        <v>0</v>
      </c>
      <c r="L188" s="466">
        <v>0</v>
      </c>
    </row>
    <row r="189" spans="1:14" x14ac:dyDescent="0.2">
      <c r="A189" s="1524" t="s">
        <v>322</v>
      </c>
      <c r="B189" s="615">
        <v>4120</v>
      </c>
      <c r="C189" s="617"/>
      <c r="D189" s="617"/>
      <c r="E189" s="466"/>
      <c r="F189" s="617"/>
      <c r="G189" s="617"/>
      <c r="H189" s="466"/>
      <c r="I189" s="477"/>
      <c r="J189" s="617"/>
      <c r="K189" s="1691">
        <f t="shared" si="18"/>
        <v>0</v>
      </c>
      <c r="L189" s="466">
        <v>0</v>
      </c>
    </row>
    <row r="190" spans="1:14" x14ac:dyDescent="0.2">
      <c r="A190" s="1524" t="s">
        <v>323</v>
      </c>
      <c r="B190" s="629">
        <v>4130</v>
      </c>
      <c r="C190" s="617"/>
      <c r="D190" s="617"/>
      <c r="E190" s="466"/>
      <c r="F190" s="617"/>
      <c r="G190" s="617"/>
      <c r="H190" s="466"/>
      <c r="I190" s="477"/>
      <c r="J190" s="617"/>
      <c r="K190" s="1691">
        <f t="shared" si="18"/>
        <v>0</v>
      </c>
      <c r="L190" s="466">
        <v>0</v>
      </c>
    </row>
    <row r="191" spans="1:14" x14ac:dyDescent="0.2">
      <c r="A191" s="1524" t="s">
        <v>721</v>
      </c>
      <c r="B191" s="615">
        <v>4140</v>
      </c>
      <c r="C191" s="617"/>
      <c r="D191" s="617"/>
      <c r="E191" s="466"/>
      <c r="F191" s="617"/>
      <c r="G191" s="617"/>
      <c r="H191" s="466"/>
      <c r="I191" s="477"/>
      <c r="J191" s="617"/>
      <c r="K191" s="1691">
        <f t="shared" si="18"/>
        <v>0</v>
      </c>
      <c r="L191" s="466">
        <v>0</v>
      </c>
    </row>
    <row r="192" spans="1:14" x14ac:dyDescent="0.2">
      <c r="A192" s="1524" t="s">
        <v>88</v>
      </c>
      <c r="B192" s="615">
        <v>4170</v>
      </c>
      <c r="C192" s="617"/>
      <c r="D192" s="617"/>
      <c r="E192" s="466"/>
      <c r="F192" s="617"/>
      <c r="G192" s="617"/>
      <c r="H192" s="466"/>
      <c r="I192" s="477"/>
      <c r="J192" s="617"/>
      <c r="K192" s="1691">
        <f t="shared" si="18"/>
        <v>0</v>
      </c>
      <c r="L192" s="466">
        <v>0</v>
      </c>
    </row>
    <row r="193" spans="1:14" x14ac:dyDescent="0.2">
      <c r="A193" s="1528"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997</v>
      </c>
      <c r="B197" s="1629"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v>0</v>
      </c>
    </row>
    <row r="200" spans="1:14" x14ac:dyDescent="0.2">
      <c r="A200" s="1524" t="s">
        <v>90</v>
      </c>
      <c r="B200" s="615">
        <v>5120</v>
      </c>
      <c r="C200" s="617"/>
      <c r="D200" s="617"/>
      <c r="E200" s="617"/>
      <c r="F200" s="617"/>
      <c r="G200" s="617"/>
      <c r="H200" s="466"/>
      <c r="I200" s="617"/>
      <c r="J200" s="617"/>
      <c r="K200" s="1691">
        <f>SUM(H200)</f>
        <v>0</v>
      </c>
      <c r="L200" s="466">
        <v>0</v>
      </c>
    </row>
    <row r="201" spans="1:14" ht="12.75" customHeight="1" x14ac:dyDescent="0.2">
      <c r="A201" s="1524" t="s">
        <v>1232</v>
      </c>
      <c r="B201" s="629" t="s">
        <v>638</v>
      </c>
      <c r="C201" s="617"/>
      <c r="D201" s="617"/>
      <c r="E201" s="617"/>
      <c r="F201" s="617"/>
      <c r="G201" s="617"/>
      <c r="H201" s="466"/>
      <c r="I201" s="617"/>
      <c r="J201" s="617"/>
      <c r="K201" s="1691">
        <f>SUM(H201)</f>
        <v>0</v>
      </c>
      <c r="L201" s="466">
        <v>0</v>
      </c>
    </row>
    <row r="202" spans="1:14" x14ac:dyDescent="0.2">
      <c r="A202" s="1524" t="s">
        <v>91</v>
      </c>
      <c r="B202" s="615" t="s">
        <v>610</v>
      </c>
      <c r="C202" s="617"/>
      <c r="D202" s="617"/>
      <c r="E202" s="617"/>
      <c r="F202" s="617"/>
      <c r="G202" s="617"/>
      <c r="H202" s="466"/>
      <c r="I202" s="617"/>
      <c r="J202" s="617"/>
      <c r="K202" s="1691">
        <f>SUM(H202)</f>
        <v>0</v>
      </c>
      <c r="L202" s="466">
        <v>0</v>
      </c>
    </row>
    <row r="203" spans="1:14" x14ac:dyDescent="0.2">
      <c r="A203" s="1536"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1770</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v>0</v>
      </c>
    </row>
    <row r="210" spans="1:14" ht="12.75" customHeight="1" thickTop="1" thickBot="1" x14ac:dyDescent="0.25">
      <c r="A210" s="1712" t="s">
        <v>295</v>
      </c>
      <c r="B210" s="1713"/>
      <c r="C210" s="1690">
        <f>SUM(C184,C185)</f>
        <v>1483759</v>
      </c>
      <c r="D210" s="1690">
        <f>SUM(D184,D185)</f>
        <v>366071</v>
      </c>
      <c r="E210" s="1690">
        <f>SUM(E184,E185,E196)</f>
        <v>169487</v>
      </c>
      <c r="F210" s="1690">
        <f>SUM(F184,F185)</f>
        <v>405405</v>
      </c>
      <c r="G210" s="1690">
        <f>SUM(G184,G185)</f>
        <v>866972</v>
      </c>
      <c r="H210" s="1690">
        <f>SUM(H184,H185,H196,H208,H209)</f>
        <v>4201</v>
      </c>
      <c r="I210" s="1690">
        <f>SUM(I184,I185)</f>
        <v>0</v>
      </c>
      <c r="J210" s="1690">
        <f>SUM(J184,J185)</f>
        <v>0</v>
      </c>
      <c r="K210" s="1691">
        <f>SUM(K184,K185,K196,K208,K209)</f>
        <v>3295895</v>
      </c>
      <c r="L210" s="1690">
        <f>SUM(L184,L185,L196,L208,L209)</f>
        <v>3505719</v>
      </c>
    </row>
    <row r="211" spans="1:14" ht="13.5" thickTop="1" x14ac:dyDescent="0.2">
      <c r="A211" s="2199" t="s">
        <v>1053</v>
      </c>
      <c r="B211" s="2200"/>
      <c r="C211" s="619"/>
      <c r="D211" s="619"/>
      <c r="E211" s="619"/>
      <c r="F211" s="619"/>
      <c r="G211" s="619"/>
      <c r="H211" s="619"/>
      <c r="I211" s="617"/>
      <c r="J211" s="617"/>
      <c r="K211" s="1704">
        <f>'Revenues 9-14'!F275-'Expenditures 15-22'!K210</f>
        <v>231756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1" t="s">
        <v>1022</v>
      </c>
      <c r="B213" s="2222"/>
      <c r="C213" s="1571"/>
      <c r="D213" s="1572"/>
      <c r="E213" s="1572"/>
      <c r="F213" s="1572"/>
      <c r="G213" s="1572"/>
      <c r="H213" s="1572"/>
      <c r="I213" s="1572"/>
      <c r="J213" s="1572"/>
      <c r="K213" s="1572"/>
      <c r="L213" s="1573"/>
      <c r="M213" s="610"/>
      <c r="N213" s="610"/>
    </row>
    <row r="214" spans="1:14" s="675" customFormat="1" ht="15.75" customHeight="1" x14ac:dyDescent="0.2">
      <c r="A214" s="1643" t="s">
        <v>928</v>
      </c>
      <c r="B214" s="1635" t="s">
        <v>591</v>
      </c>
      <c r="C214" s="617"/>
      <c r="D214" s="624"/>
      <c r="E214" s="617"/>
      <c r="F214" s="617"/>
      <c r="G214" s="617"/>
      <c r="H214" s="617"/>
      <c r="I214" s="617"/>
      <c r="J214" s="617"/>
      <c r="K214" s="624"/>
      <c r="L214" s="624"/>
      <c r="M214" s="666"/>
      <c r="N214" s="666"/>
    </row>
    <row r="215" spans="1:14" x14ac:dyDescent="0.2">
      <c r="A215" s="1524" t="s">
        <v>1018</v>
      </c>
      <c r="B215" s="615">
        <v>1100</v>
      </c>
      <c r="C215" s="617"/>
      <c r="D215" s="466">
        <v>182626</v>
      </c>
      <c r="E215" s="617"/>
      <c r="F215" s="617"/>
      <c r="G215" s="617"/>
      <c r="H215" s="617"/>
      <c r="I215" s="617"/>
      <c r="J215" s="617"/>
      <c r="K215" s="1691">
        <f>D215</f>
        <v>182626</v>
      </c>
      <c r="L215" s="466">
        <v>116105</v>
      </c>
    </row>
    <row r="216" spans="1:14" x14ac:dyDescent="0.2">
      <c r="A216" s="1524" t="s">
        <v>165</v>
      </c>
      <c r="B216" s="615" t="s">
        <v>1024</v>
      </c>
      <c r="C216" s="617"/>
      <c r="D216" s="467">
        <v>14124</v>
      </c>
      <c r="E216" s="617"/>
      <c r="F216" s="617"/>
      <c r="G216" s="617"/>
      <c r="H216" s="617"/>
      <c r="I216" s="617"/>
      <c r="J216" s="617"/>
      <c r="K216" s="1691">
        <f t="shared" ref="K216:K228" si="19">D216</f>
        <v>14124</v>
      </c>
      <c r="L216" s="466">
        <v>93992</v>
      </c>
    </row>
    <row r="217" spans="1:14" x14ac:dyDescent="0.2">
      <c r="A217" s="1524" t="s">
        <v>166</v>
      </c>
      <c r="B217" s="615">
        <v>1200</v>
      </c>
      <c r="C217" s="617"/>
      <c r="D217" s="466">
        <v>178432</v>
      </c>
      <c r="E217" s="617"/>
      <c r="F217" s="617"/>
      <c r="G217" s="617"/>
      <c r="H217" s="617"/>
      <c r="I217" s="617"/>
      <c r="J217" s="617"/>
      <c r="K217" s="1691">
        <f t="shared" si="19"/>
        <v>178432</v>
      </c>
      <c r="L217" s="466">
        <v>225232</v>
      </c>
    </row>
    <row r="218" spans="1:14" x14ac:dyDescent="0.2">
      <c r="A218" s="1524" t="s">
        <v>296</v>
      </c>
      <c r="B218" s="615" t="s">
        <v>1025</v>
      </c>
      <c r="C218" s="617"/>
      <c r="D218" s="467">
        <v>3728</v>
      </c>
      <c r="E218" s="617"/>
      <c r="F218" s="617"/>
      <c r="G218" s="617"/>
      <c r="H218" s="617"/>
      <c r="I218" s="617"/>
      <c r="J218" s="617"/>
      <c r="K218" s="1691">
        <f t="shared" si="19"/>
        <v>3728</v>
      </c>
      <c r="L218" s="466">
        <v>3933</v>
      </c>
    </row>
    <row r="219" spans="1:14" x14ac:dyDescent="0.2">
      <c r="A219" s="1524" t="s">
        <v>297</v>
      </c>
      <c r="B219" s="615">
        <v>1250</v>
      </c>
      <c r="C219" s="617"/>
      <c r="D219" s="466">
        <v>27233</v>
      </c>
      <c r="E219" s="617"/>
      <c r="F219" s="617"/>
      <c r="G219" s="617"/>
      <c r="H219" s="617"/>
      <c r="I219" s="617"/>
      <c r="J219" s="617"/>
      <c r="K219" s="1691">
        <f t="shared" si="19"/>
        <v>27233</v>
      </c>
      <c r="L219" s="466">
        <v>33503</v>
      </c>
    </row>
    <row r="220" spans="1:14" x14ac:dyDescent="0.2">
      <c r="A220" s="1524" t="s">
        <v>298</v>
      </c>
      <c r="B220" s="615" t="s">
        <v>163</v>
      </c>
      <c r="C220" s="617"/>
      <c r="D220" s="467"/>
      <c r="E220" s="617"/>
      <c r="F220" s="617"/>
      <c r="G220" s="617"/>
      <c r="H220" s="617"/>
      <c r="I220" s="617"/>
      <c r="J220" s="617"/>
      <c r="K220" s="1691">
        <f t="shared" si="19"/>
        <v>0</v>
      </c>
      <c r="L220" s="466">
        <v>0</v>
      </c>
    </row>
    <row r="221" spans="1:14" x14ac:dyDescent="0.2">
      <c r="A221" s="1524" t="s">
        <v>1019</v>
      </c>
      <c r="B221" s="615">
        <v>1300</v>
      </c>
      <c r="C221" s="617"/>
      <c r="D221" s="466"/>
      <c r="E221" s="617"/>
      <c r="F221" s="617"/>
      <c r="G221" s="617"/>
      <c r="H221" s="617"/>
      <c r="I221" s="617"/>
      <c r="J221" s="617"/>
      <c r="K221" s="1691">
        <f t="shared" si="19"/>
        <v>0</v>
      </c>
      <c r="L221" s="466">
        <v>0</v>
      </c>
    </row>
    <row r="222" spans="1:14" x14ac:dyDescent="0.2">
      <c r="A222" s="1524" t="s">
        <v>747</v>
      </c>
      <c r="B222" s="615">
        <v>1400</v>
      </c>
      <c r="C222" s="617"/>
      <c r="D222" s="466">
        <v>7408</v>
      </c>
      <c r="E222" s="617"/>
      <c r="F222" s="617"/>
      <c r="G222" s="617"/>
      <c r="H222" s="617"/>
      <c r="I222" s="617"/>
      <c r="J222" s="617"/>
      <c r="K222" s="1691">
        <f t="shared" si="19"/>
        <v>7408</v>
      </c>
      <c r="L222" s="466">
        <v>8176</v>
      </c>
    </row>
    <row r="223" spans="1:14" x14ac:dyDescent="0.2">
      <c r="A223" s="1524" t="s">
        <v>1020</v>
      </c>
      <c r="B223" s="615">
        <v>1500</v>
      </c>
      <c r="C223" s="617"/>
      <c r="D223" s="466">
        <v>19216</v>
      </c>
      <c r="E223" s="617"/>
      <c r="F223" s="617"/>
      <c r="G223" s="617"/>
      <c r="H223" s="617"/>
      <c r="I223" s="617"/>
      <c r="J223" s="617"/>
      <c r="K223" s="1691">
        <f t="shared" si="19"/>
        <v>19216</v>
      </c>
      <c r="L223" s="466">
        <v>21396</v>
      </c>
    </row>
    <row r="224" spans="1:14" x14ac:dyDescent="0.2">
      <c r="A224" s="1524" t="s">
        <v>1021</v>
      </c>
      <c r="B224" s="615">
        <v>1600</v>
      </c>
      <c r="C224" s="617"/>
      <c r="D224" s="466">
        <v>2977</v>
      </c>
      <c r="E224" s="617"/>
      <c r="F224" s="617"/>
      <c r="G224" s="617"/>
      <c r="H224" s="617"/>
      <c r="I224" s="617"/>
      <c r="J224" s="617"/>
      <c r="K224" s="1691">
        <f t="shared" si="19"/>
        <v>2977</v>
      </c>
      <c r="L224" s="466">
        <v>4219</v>
      </c>
    </row>
    <row r="225" spans="1:12" x14ac:dyDescent="0.2">
      <c r="A225" s="1524" t="s">
        <v>1044</v>
      </c>
      <c r="B225" s="615">
        <v>1650</v>
      </c>
      <c r="C225" s="617"/>
      <c r="D225" s="466">
        <v>5398</v>
      </c>
      <c r="E225" s="617"/>
      <c r="F225" s="617"/>
      <c r="G225" s="617"/>
      <c r="H225" s="617"/>
      <c r="I225" s="617"/>
      <c r="J225" s="617"/>
      <c r="K225" s="1691">
        <f t="shared" si="19"/>
        <v>5398</v>
      </c>
      <c r="L225" s="466">
        <v>6573</v>
      </c>
    </row>
    <row r="226" spans="1:12" x14ac:dyDescent="0.2">
      <c r="A226" s="1524" t="s">
        <v>748</v>
      </c>
      <c r="B226" s="615" t="s">
        <v>164</v>
      </c>
      <c r="C226" s="617"/>
      <c r="D226" s="467">
        <v>1351</v>
      </c>
      <c r="E226" s="617"/>
      <c r="F226" s="617"/>
      <c r="G226" s="617"/>
      <c r="H226" s="617"/>
      <c r="I226" s="617"/>
      <c r="J226" s="617"/>
      <c r="K226" s="1691">
        <f t="shared" si="19"/>
        <v>1351</v>
      </c>
      <c r="L226" s="466">
        <v>1555</v>
      </c>
    </row>
    <row r="227" spans="1:12" x14ac:dyDescent="0.2">
      <c r="A227" s="1524" t="s">
        <v>1148</v>
      </c>
      <c r="B227" s="615">
        <v>1800</v>
      </c>
      <c r="C227" s="617"/>
      <c r="D227" s="466">
        <v>9357</v>
      </c>
      <c r="E227" s="617"/>
      <c r="F227" s="617"/>
      <c r="G227" s="617"/>
      <c r="H227" s="617"/>
      <c r="I227" s="617"/>
      <c r="J227" s="617"/>
      <c r="K227" s="1691">
        <f t="shared" si="19"/>
        <v>9357</v>
      </c>
      <c r="L227" s="466">
        <v>16826</v>
      </c>
    </row>
    <row r="228" spans="1:12" x14ac:dyDescent="0.2">
      <c r="A228" s="1524"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451850</v>
      </c>
      <c r="E229" s="617"/>
      <c r="F229" s="617"/>
      <c r="G229" s="617"/>
      <c r="H229" s="617"/>
      <c r="I229" s="617"/>
      <c r="J229" s="617"/>
      <c r="K229" s="1690">
        <f>SUM(K215:K228)</f>
        <v>451850</v>
      </c>
      <c r="L229" s="1690">
        <f>SUM(L215:L228)</f>
        <v>531510</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4" t="s">
        <v>1150</v>
      </c>
      <c r="B232" s="615">
        <v>2110</v>
      </c>
      <c r="C232" s="617"/>
      <c r="D232" s="466">
        <v>52998</v>
      </c>
      <c r="E232" s="617"/>
      <c r="F232" s="617"/>
      <c r="G232" s="617"/>
      <c r="H232" s="617"/>
      <c r="I232" s="617"/>
      <c r="J232" s="617"/>
      <c r="K232" s="1691">
        <f t="shared" ref="K232:K237" si="20">D232</f>
        <v>52998</v>
      </c>
      <c r="L232" s="466">
        <v>53918</v>
      </c>
    </row>
    <row r="233" spans="1:12" x14ac:dyDescent="0.2">
      <c r="A233" s="1524" t="s">
        <v>1151</v>
      </c>
      <c r="B233" s="615">
        <v>2120</v>
      </c>
      <c r="C233" s="617"/>
      <c r="D233" s="466">
        <v>13340</v>
      </c>
      <c r="E233" s="617"/>
      <c r="F233" s="617"/>
      <c r="G233" s="617"/>
      <c r="H233" s="617"/>
      <c r="I233" s="617"/>
      <c r="J233" s="617"/>
      <c r="K233" s="1691">
        <f t="shared" si="20"/>
        <v>13340</v>
      </c>
      <c r="L233" s="466">
        <v>19396</v>
      </c>
    </row>
    <row r="234" spans="1:12" x14ac:dyDescent="0.2">
      <c r="A234" s="1524" t="s">
        <v>207</v>
      </c>
      <c r="B234" s="615">
        <v>2130</v>
      </c>
      <c r="C234" s="617"/>
      <c r="D234" s="466">
        <v>61370</v>
      </c>
      <c r="E234" s="617"/>
      <c r="F234" s="617"/>
      <c r="G234" s="617"/>
      <c r="H234" s="617"/>
      <c r="I234" s="617"/>
      <c r="J234" s="617"/>
      <c r="K234" s="1691">
        <f t="shared" si="20"/>
        <v>61370</v>
      </c>
      <c r="L234" s="466">
        <v>68080</v>
      </c>
    </row>
    <row r="235" spans="1:12" x14ac:dyDescent="0.2">
      <c r="A235" s="1524" t="s">
        <v>208</v>
      </c>
      <c r="B235" s="615">
        <v>2140</v>
      </c>
      <c r="C235" s="617"/>
      <c r="D235" s="466">
        <v>3464</v>
      </c>
      <c r="E235" s="617"/>
      <c r="F235" s="617"/>
      <c r="G235" s="617"/>
      <c r="H235" s="617"/>
      <c r="I235" s="617"/>
      <c r="J235" s="617"/>
      <c r="K235" s="1691">
        <f t="shared" si="20"/>
        <v>3464</v>
      </c>
      <c r="L235" s="466">
        <v>3275</v>
      </c>
    </row>
    <row r="236" spans="1:12" x14ac:dyDescent="0.2">
      <c r="A236" s="1524" t="s">
        <v>209</v>
      </c>
      <c r="B236" s="615">
        <v>2150</v>
      </c>
      <c r="C236" s="617"/>
      <c r="D236" s="466">
        <v>5447</v>
      </c>
      <c r="E236" s="617"/>
      <c r="F236" s="617"/>
      <c r="G236" s="617"/>
      <c r="H236" s="617"/>
      <c r="I236" s="617"/>
      <c r="J236" s="617"/>
      <c r="K236" s="1691">
        <f t="shared" si="20"/>
        <v>5447</v>
      </c>
      <c r="L236" s="466">
        <v>6851</v>
      </c>
    </row>
    <row r="237" spans="1:12" x14ac:dyDescent="0.2">
      <c r="A237" s="1524" t="s">
        <v>167</v>
      </c>
      <c r="B237" s="615">
        <v>2190</v>
      </c>
      <c r="C237" s="617"/>
      <c r="D237" s="466">
        <v>20060</v>
      </c>
      <c r="E237" s="617"/>
      <c r="F237" s="617"/>
      <c r="G237" s="617"/>
      <c r="H237" s="617"/>
      <c r="I237" s="617"/>
      <c r="J237" s="617"/>
      <c r="K237" s="1691">
        <f t="shared" si="20"/>
        <v>20060</v>
      </c>
      <c r="L237" s="466">
        <v>27118</v>
      </c>
    </row>
    <row r="238" spans="1:12" ht="12.75" customHeight="1" thickBot="1" x14ac:dyDescent="0.25">
      <c r="A238" s="1688" t="s">
        <v>581</v>
      </c>
      <c r="B238" s="1695" t="s">
        <v>740</v>
      </c>
      <c r="C238" s="617"/>
      <c r="D238" s="1690">
        <f>SUM(D232:D237)</f>
        <v>156679</v>
      </c>
      <c r="E238" s="617"/>
      <c r="F238" s="617"/>
      <c r="G238" s="617"/>
      <c r="H238" s="617"/>
      <c r="I238" s="617"/>
      <c r="J238" s="617"/>
      <c r="K238" s="1690">
        <f>SUM(K232:K237)</f>
        <v>156679</v>
      </c>
      <c r="L238" s="1690">
        <f>SUM(L232:L237)</f>
        <v>178638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33565</v>
      </c>
      <c r="E240" s="617"/>
      <c r="F240" s="617"/>
      <c r="G240" s="617"/>
      <c r="H240" s="617"/>
      <c r="I240" s="617"/>
      <c r="J240" s="617"/>
      <c r="K240" s="1692">
        <f>D240</f>
        <v>33565</v>
      </c>
      <c r="L240" s="481">
        <v>39699</v>
      </c>
    </row>
    <row r="241" spans="1:12" x14ac:dyDescent="0.2">
      <c r="A241" s="1524" t="s">
        <v>869</v>
      </c>
      <c r="B241" s="615">
        <v>2220</v>
      </c>
      <c r="C241" s="617"/>
      <c r="D241" s="466">
        <v>69500</v>
      </c>
      <c r="E241" s="617"/>
      <c r="F241" s="617"/>
      <c r="G241" s="617"/>
      <c r="H241" s="617"/>
      <c r="I241" s="617"/>
      <c r="J241" s="617"/>
      <c r="K241" s="1692">
        <f>D241</f>
        <v>69500</v>
      </c>
      <c r="L241" s="466">
        <v>84400</v>
      </c>
    </row>
    <row r="242" spans="1:12" x14ac:dyDescent="0.2">
      <c r="A242" s="1524"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103065</v>
      </c>
      <c r="E243" s="617"/>
      <c r="F243" s="617"/>
      <c r="G243" s="617"/>
      <c r="H243" s="617"/>
      <c r="I243" s="617"/>
      <c r="J243" s="617"/>
      <c r="K243" s="1690">
        <f>SUM(K240:K242)</f>
        <v>103065</v>
      </c>
      <c r="L243" s="1690">
        <f>SUM(L240:L242)</f>
        <v>124099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4" t="s">
        <v>871</v>
      </c>
      <c r="B245" s="615">
        <v>2310</v>
      </c>
      <c r="C245" s="617"/>
      <c r="D245" s="481">
        <v>210</v>
      </c>
      <c r="E245" s="617"/>
      <c r="F245" s="617"/>
      <c r="G245" s="617"/>
      <c r="H245" s="617"/>
      <c r="I245" s="617"/>
      <c r="J245" s="617"/>
      <c r="K245" s="1692">
        <f>D245</f>
        <v>210</v>
      </c>
      <c r="L245" s="481">
        <v>192</v>
      </c>
    </row>
    <row r="246" spans="1:12" x14ac:dyDescent="0.2">
      <c r="A246" s="1524" t="s">
        <v>872</v>
      </c>
      <c r="B246" s="615">
        <v>2320</v>
      </c>
      <c r="C246" s="617"/>
      <c r="D246" s="466">
        <v>10662</v>
      </c>
      <c r="E246" s="617"/>
      <c r="F246" s="617"/>
      <c r="G246" s="617"/>
      <c r="H246" s="617"/>
      <c r="I246" s="617"/>
      <c r="J246" s="617"/>
      <c r="K246" s="1692">
        <f t="shared" ref="K246:K256" si="21">D246</f>
        <v>10662</v>
      </c>
      <c r="L246" s="466">
        <v>11560</v>
      </c>
    </row>
    <row r="247" spans="1:12" x14ac:dyDescent="0.2">
      <c r="A247" s="1524" t="s">
        <v>873</v>
      </c>
      <c r="B247" s="615">
        <v>2330</v>
      </c>
      <c r="C247" s="617"/>
      <c r="D247" s="466">
        <v>8754</v>
      </c>
      <c r="E247" s="617"/>
      <c r="F247" s="617"/>
      <c r="G247" s="617"/>
      <c r="H247" s="617"/>
      <c r="I247" s="617"/>
      <c r="J247" s="617"/>
      <c r="K247" s="1692">
        <f t="shared" si="21"/>
        <v>8754</v>
      </c>
      <c r="L247" s="466">
        <v>9439</v>
      </c>
    </row>
    <row r="248" spans="1:12" x14ac:dyDescent="0.2">
      <c r="A248" s="1525" t="s">
        <v>317</v>
      </c>
      <c r="B248" s="603" t="s">
        <v>299</v>
      </c>
      <c r="C248" s="617"/>
      <c r="D248" s="474"/>
      <c r="E248" s="617"/>
      <c r="F248" s="617"/>
      <c r="G248" s="617"/>
      <c r="H248" s="617"/>
      <c r="I248" s="617"/>
      <c r="J248" s="617"/>
      <c r="K248" s="1692">
        <f t="shared" si="21"/>
        <v>0</v>
      </c>
      <c r="L248" s="466">
        <v>0</v>
      </c>
    </row>
    <row r="249" spans="1:12" x14ac:dyDescent="0.2">
      <c r="A249" s="1526" t="s">
        <v>1906</v>
      </c>
      <c r="B249" s="684" t="s">
        <v>300</v>
      </c>
      <c r="C249" s="617"/>
      <c r="D249" s="474"/>
      <c r="E249" s="617"/>
      <c r="F249" s="617"/>
      <c r="G249" s="617"/>
      <c r="H249" s="617"/>
      <c r="I249" s="617"/>
      <c r="J249" s="617"/>
      <c r="K249" s="1692">
        <f t="shared" si="21"/>
        <v>0</v>
      </c>
      <c r="L249" s="466">
        <v>0</v>
      </c>
    </row>
    <row r="250" spans="1:12" x14ac:dyDescent="0.2">
      <c r="A250" s="1525" t="s">
        <v>1907</v>
      </c>
      <c r="B250" s="603" t="s">
        <v>301</v>
      </c>
      <c r="C250" s="617"/>
      <c r="D250" s="474"/>
      <c r="E250" s="617"/>
      <c r="F250" s="617"/>
      <c r="G250" s="617"/>
      <c r="H250" s="617"/>
      <c r="I250" s="617"/>
      <c r="J250" s="617"/>
      <c r="K250" s="1692">
        <f t="shared" si="21"/>
        <v>0</v>
      </c>
      <c r="L250" s="466">
        <v>0</v>
      </c>
    </row>
    <row r="251" spans="1:12" x14ac:dyDescent="0.2">
      <c r="A251" s="1525" t="s">
        <v>256</v>
      </c>
      <c r="B251" s="603" t="s">
        <v>302</v>
      </c>
      <c r="C251" s="617"/>
      <c r="D251" s="474"/>
      <c r="E251" s="617"/>
      <c r="F251" s="617"/>
      <c r="G251" s="617"/>
      <c r="H251" s="617"/>
      <c r="I251" s="617"/>
      <c r="J251" s="617"/>
      <c r="K251" s="1692">
        <f t="shared" si="21"/>
        <v>0</v>
      </c>
      <c r="L251" s="466">
        <v>0</v>
      </c>
    </row>
    <row r="252" spans="1:12" x14ac:dyDescent="0.2">
      <c r="A252" s="1525" t="s">
        <v>726</v>
      </c>
      <c r="B252" s="603" t="s">
        <v>303</v>
      </c>
      <c r="C252" s="617"/>
      <c r="D252" s="474"/>
      <c r="E252" s="617"/>
      <c r="F252" s="617"/>
      <c r="G252" s="617"/>
      <c r="H252" s="617"/>
      <c r="I252" s="617"/>
      <c r="J252" s="617"/>
      <c r="K252" s="1692">
        <f t="shared" si="21"/>
        <v>0</v>
      </c>
      <c r="L252" s="466">
        <v>0</v>
      </c>
    </row>
    <row r="253" spans="1:12" x14ac:dyDescent="0.2">
      <c r="A253" s="1525" t="s">
        <v>257</v>
      </c>
      <c r="B253" s="603" t="s">
        <v>304</v>
      </c>
      <c r="C253" s="617"/>
      <c r="D253" s="474"/>
      <c r="E253" s="617"/>
      <c r="F253" s="617"/>
      <c r="G253" s="617"/>
      <c r="H253" s="617"/>
      <c r="I253" s="617"/>
      <c r="J253" s="617"/>
      <c r="K253" s="1692">
        <f t="shared" si="21"/>
        <v>0</v>
      </c>
      <c r="L253" s="466">
        <v>0</v>
      </c>
    </row>
    <row r="254" spans="1:12" ht="22.5" x14ac:dyDescent="0.2">
      <c r="A254" s="1525" t="s">
        <v>1087</v>
      </c>
      <c r="B254" s="684" t="s">
        <v>305</v>
      </c>
      <c r="C254" s="617"/>
      <c r="D254" s="474"/>
      <c r="E254" s="617"/>
      <c r="F254" s="617"/>
      <c r="G254" s="617"/>
      <c r="H254" s="617"/>
      <c r="I254" s="617"/>
      <c r="J254" s="617"/>
      <c r="K254" s="1692">
        <f t="shared" si="21"/>
        <v>0</v>
      </c>
      <c r="L254" s="466">
        <v>0</v>
      </c>
    </row>
    <row r="255" spans="1:12" x14ac:dyDescent="0.2">
      <c r="A255" s="1525" t="s">
        <v>1088</v>
      </c>
      <c r="B255" s="603" t="s">
        <v>306</v>
      </c>
      <c r="C255" s="617"/>
      <c r="D255" s="474"/>
      <c r="E255" s="617"/>
      <c r="F255" s="617"/>
      <c r="G255" s="617"/>
      <c r="H255" s="617"/>
      <c r="I255" s="617"/>
      <c r="J255" s="617"/>
      <c r="K255" s="1692">
        <f t="shared" si="21"/>
        <v>0</v>
      </c>
      <c r="L255" s="466">
        <v>0</v>
      </c>
    </row>
    <row r="256" spans="1:12" x14ac:dyDescent="0.2">
      <c r="A256" s="1525"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19626</v>
      </c>
      <c r="E257" s="617"/>
      <c r="F257" s="617"/>
      <c r="G257" s="617"/>
      <c r="H257" s="617"/>
      <c r="I257" s="617"/>
      <c r="J257" s="617"/>
      <c r="K257" s="1690">
        <f>SUM(K245:K256)</f>
        <v>19626</v>
      </c>
      <c r="L257" s="1690">
        <f>SUM(L245:L256)</f>
        <v>21191</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4" t="s">
        <v>1127</v>
      </c>
      <c r="B259" s="686">
        <v>2410</v>
      </c>
      <c r="C259" s="617"/>
      <c r="D259" s="481">
        <v>90608</v>
      </c>
      <c r="E259" s="617"/>
      <c r="F259" s="617"/>
      <c r="G259" s="617"/>
      <c r="H259" s="617"/>
      <c r="I259" s="617"/>
      <c r="J259" s="617"/>
      <c r="K259" s="1692">
        <f>D259</f>
        <v>90608</v>
      </c>
      <c r="L259" s="481">
        <v>107240</v>
      </c>
    </row>
    <row r="260" spans="1:14" s="598" customFormat="1" x14ac:dyDescent="0.2">
      <c r="A260" s="1542" t="s">
        <v>1905</v>
      </c>
      <c r="B260" s="629">
        <v>2490</v>
      </c>
      <c r="C260" s="617"/>
      <c r="D260" s="466">
        <v>14498</v>
      </c>
      <c r="E260" s="617"/>
      <c r="F260" s="617"/>
      <c r="G260" s="617"/>
      <c r="H260" s="617"/>
      <c r="I260" s="617"/>
      <c r="J260" s="617"/>
      <c r="K260" s="1692">
        <f>D260</f>
        <v>14498</v>
      </c>
      <c r="L260" s="466">
        <v>18389</v>
      </c>
      <c r="M260" s="210"/>
      <c r="N260" s="210"/>
    </row>
    <row r="261" spans="1:14" ht="12.75" customHeight="1" thickBot="1" x14ac:dyDescent="0.25">
      <c r="A261" s="1712" t="s">
        <v>281</v>
      </c>
      <c r="B261" s="1717" t="s">
        <v>34</v>
      </c>
      <c r="C261" s="617"/>
      <c r="D261" s="1690">
        <f>SUM(D259:D260)</f>
        <v>105106</v>
      </c>
      <c r="E261" s="617"/>
      <c r="F261" s="617"/>
      <c r="G261" s="617"/>
      <c r="H261" s="617"/>
      <c r="I261" s="617"/>
      <c r="J261" s="617"/>
      <c r="K261" s="1690">
        <f>SUM(K259:K260)</f>
        <v>105106</v>
      </c>
      <c r="L261" s="1690">
        <f>SUM(L259:L260)</f>
        <v>125629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4" t="s">
        <v>1128</v>
      </c>
      <c r="B263" s="686">
        <v>2510</v>
      </c>
      <c r="C263" s="617"/>
      <c r="D263" s="466">
        <v>8352</v>
      </c>
      <c r="E263" s="617"/>
      <c r="F263" s="617"/>
      <c r="G263" s="617"/>
      <c r="H263" s="617"/>
      <c r="I263" s="617"/>
      <c r="J263" s="617"/>
      <c r="K263" s="1692">
        <f>D263</f>
        <v>8352</v>
      </c>
      <c r="L263" s="481">
        <v>19190</v>
      </c>
    </row>
    <row r="264" spans="1:14" x14ac:dyDescent="0.2">
      <c r="A264" s="1524" t="s">
        <v>483</v>
      </c>
      <c r="B264" s="686">
        <v>2520</v>
      </c>
      <c r="C264" s="617"/>
      <c r="D264" s="466">
        <v>19718</v>
      </c>
      <c r="E264" s="617"/>
      <c r="F264" s="617"/>
      <c r="G264" s="617"/>
      <c r="H264" s="617"/>
      <c r="I264" s="617"/>
      <c r="J264" s="617"/>
      <c r="K264" s="1692">
        <f t="shared" ref="K264:K269" si="22">D264</f>
        <v>19718</v>
      </c>
      <c r="L264" s="466">
        <v>20671</v>
      </c>
    </row>
    <row r="265" spans="1:14" x14ac:dyDescent="0.2">
      <c r="A265" s="1524" t="s">
        <v>4</v>
      </c>
      <c r="B265" s="615">
        <v>2530</v>
      </c>
      <c r="C265" s="617"/>
      <c r="D265" s="466"/>
      <c r="E265" s="617"/>
      <c r="F265" s="617"/>
      <c r="G265" s="617"/>
      <c r="H265" s="617"/>
      <c r="I265" s="617"/>
      <c r="J265" s="617"/>
      <c r="K265" s="1692">
        <f t="shared" si="22"/>
        <v>0</v>
      </c>
      <c r="L265" s="466">
        <v>0</v>
      </c>
    </row>
    <row r="266" spans="1:14" x14ac:dyDescent="0.2">
      <c r="A266" s="1524" t="s">
        <v>206</v>
      </c>
      <c r="B266" s="615">
        <v>2540</v>
      </c>
      <c r="C266" s="617"/>
      <c r="D266" s="466">
        <v>246645</v>
      </c>
      <c r="E266" s="617"/>
      <c r="F266" s="617"/>
      <c r="G266" s="617"/>
      <c r="H266" s="617"/>
      <c r="I266" s="617"/>
      <c r="J266" s="617"/>
      <c r="K266" s="1692">
        <f t="shared" si="22"/>
        <v>246645</v>
      </c>
      <c r="L266" s="466">
        <v>303982</v>
      </c>
    </row>
    <row r="267" spans="1:14" x14ac:dyDescent="0.2">
      <c r="A267" s="1524" t="s">
        <v>1010</v>
      </c>
      <c r="B267" s="615">
        <v>2550</v>
      </c>
      <c r="C267" s="617"/>
      <c r="D267" s="466">
        <v>204649</v>
      </c>
      <c r="E267" s="617"/>
      <c r="F267" s="617"/>
      <c r="G267" s="617"/>
      <c r="H267" s="617"/>
      <c r="I267" s="617"/>
      <c r="J267" s="617"/>
      <c r="K267" s="1692">
        <f t="shared" si="22"/>
        <v>204649</v>
      </c>
      <c r="L267" s="466">
        <v>239539</v>
      </c>
    </row>
    <row r="268" spans="1:14" x14ac:dyDescent="0.2">
      <c r="A268" s="1524" t="s">
        <v>102</v>
      </c>
      <c r="B268" s="615">
        <v>2560</v>
      </c>
      <c r="C268" s="617"/>
      <c r="D268" s="466">
        <v>86234</v>
      </c>
      <c r="E268" s="617"/>
      <c r="F268" s="617"/>
      <c r="G268" s="617"/>
      <c r="H268" s="617"/>
      <c r="I268" s="617"/>
      <c r="J268" s="617"/>
      <c r="K268" s="1692">
        <f t="shared" si="22"/>
        <v>86234</v>
      </c>
      <c r="L268" s="466">
        <v>100315</v>
      </c>
    </row>
    <row r="269" spans="1:14" x14ac:dyDescent="0.2">
      <c r="A269" s="1524" t="s">
        <v>103</v>
      </c>
      <c r="B269" s="615">
        <v>2570</v>
      </c>
      <c r="C269" s="617"/>
      <c r="D269" s="466">
        <v>11078</v>
      </c>
      <c r="E269" s="617"/>
      <c r="F269" s="617"/>
      <c r="G269" s="617"/>
      <c r="H269" s="617"/>
      <c r="I269" s="617"/>
      <c r="J269" s="617"/>
      <c r="K269" s="1692">
        <f t="shared" si="22"/>
        <v>11078</v>
      </c>
      <c r="L269" s="466">
        <v>11264</v>
      </c>
    </row>
    <row r="270" spans="1:14" ht="12.75" customHeight="1" thickBot="1" x14ac:dyDescent="0.25">
      <c r="A270" s="1688" t="s">
        <v>743</v>
      </c>
      <c r="B270" s="1695" t="s">
        <v>35</v>
      </c>
      <c r="C270" s="617"/>
      <c r="D270" s="1690">
        <f>SUM(D263:D269)</f>
        <v>576676</v>
      </c>
      <c r="E270" s="617"/>
      <c r="F270" s="617"/>
      <c r="G270" s="617"/>
      <c r="H270" s="617"/>
      <c r="I270" s="617"/>
      <c r="J270" s="617"/>
      <c r="K270" s="1690">
        <f>SUM(K263:K269)</f>
        <v>576676</v>
      </c>
      <c r="L270" s="1690">
        <f>SUM(L263:L269)</f>
        <v>694961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4" t="s">
        <v>1120</v>
      </c>
      <c r="B272" s="615">
        <v>2610</v>
      </c>
      <c r="C272" s="617"/>
      <c r="D272" s="481"/>
      <c r="E272" s="617"/>
      <c r="F272" s="617"/>
      <c r="G272" s="617"/>
      <c r="H272" s="617"/>
      <c r="I272" s="617"/>
      <c r="J272" s="617"/>
      <c r="K272" s="1692">
        <f>D272</f>
        <v>0</v>
      </c>
      <c r="L272" s="481">
        <v>0</v>
      </c>
    </row>
    <row r="273" spans="1:12" x14ac:dyDescent="0.2">
      <c r="A273" s="1524" t="s">
        <v>628</v>
      </c>
      <c r="B273" s="629">
        <v>2620</v>
      </c>
      <c r="C273" s="617"/>
      <c r="D273" s="466">
        <v>10</v>
      </c>
      <c r="E273" s="617"/>
      <c r="F273" s="617"/>
      <c r="G273" s="617"/>
      <c r="H273" s="617"/>
      <c r="I273" s="617"/>
      <c r="J273" s="617"/>
      <c r="K273" s="1692">
        <f>D273</f>
        <v>10</v>
      </c>
      <c r="L273" s="466">
        <v>173</v>
      </c>
    </row>
    <row r="274" spans="1:12" ht="12" customHeight="1" x14ac:dyDescent="0.2">
      <c r="A274" s="1524" t="s">
        <v>1121</v>
      </c>
      <c r="B274" s="615">
        <v>2630</v>
      </c>
      <c r="C274" s="617"/>
      <c r="D274" s="466">
        <v>9972</v>
      </c>
      <c r="E274" s="617"/>
      <c r="F274" s="617"/>
      <c r="G274" s="617"/>
      <c r="H274" s="617"/>
      <c r="I274" s="617"/>
      <c r="J274" s="617"/>
      <c r="K274" s="1692">
        <f>D274</f>
        <v>9972</v>
      </c>
      <c r="L274" s="466">
        <v>11689</v>
      </c>
    </row>
    <row r="275" spans="1:12" x14ac:dyDescent="0.2">
      <c r="A275" s="1524" t="s">
        <v>423</v>
      </c>
      <c r="B275" s="615">
        <v>2640</v>
      </c>
      <c r="C275" s="617"/>
      <c r="D275" s="466">
        <v>15263</v>
      </c>
      <c r="E275" s="617"/>
      <c r="F275" s="617"/>
      <c r="G275" s="617"/>
      <c r="H275" s="617"/>
      <c r="I275" s="617"/>
      <c r="J275" s="617"/>
      <c r="K275" s="1692">
        <f>D275</f>
        <v>15263</v>
      </c>
      <c r="L275" s="466">
        <v>18602</v>
      </c>
    </row>
    <row r="276" spans="1:12" x14ac:dyDescent="0.2">
      <c r="A276" s="1524"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25245</v>
      </c>
      <c r="E277" s="617"/>
      <c r="F277" s="617"/>
      <c r="G277" s="617"/>
      <c r="H277" s="617"/>
      <c r="I277" s="617"/>
      <c r="J277" s="617"/>
      <c r="K277" s="1690">
        <f>SUM(K272:K276)</f>
        <v>25245</v>
      </c>
      <c r="L277" s="1690">
        <f>SUM(L272:L276)</f>
        <v>30464</v>
      </c>
    </row>
    <row r="278" spans="1:12" ht="13.5" customHeight="1" thickTop="1" x14ac:dyDescent="0.2">
      <c r="A278" s="1530" t="s">
        <v>1037</v>
      </c>
      <c r="B278" s="656" t="s">
        <v>595</v>
      </c>
      <c r="C278" s="617"/>
      <c r="D278" s="657">
        <v>22520</v>
      </c>
      <c r="E278" s="617"/>
      <c r="F278" s="617"/>
      <c r="G278" s="617"/>
      <c r="H278" s="617"/>
      <c r="I278" s="617"/>
      <c r="J278" s="617"/>
      <c r="K278" s="1705">
        <f>D278</f>
        <v>22520</v>
      </c>
      <c r="L278" s="657">
        <v>29313</v>
      </c>
    </row>
    <row r="279" spans="1:12" ht="12.75" customHeight="1" thickBot="1" x14ac:dyDescent="0.25">
      <c r="A279" s="1718" t="s">
        <v>865</v>
      </c>
      <c r="B279" s="1701">
        <v>2000</v>
      </c>
      <c r="C279" s="617"/>
      <c r="D279" s="1697">
        <f>SUM(D238,D243,D257,D261,D270,D277,D278)</f>
        <v>1008917</v>
      </c>
      <c r="E279" s="617"/>
      <c r="F279" s="617"/>
      <c r="G279" s="617"/>
      <c r="H279" s="617"/>
      <c r="I279" s="617"/>
      <c r="J279" s="617"/>
      <c r="K279" s="1697">
        <f>SUM(K238,K243,K257,K261,K270,K277,K278)</f>
        <v>1008917</v>
      </c>
      <c r="L279" s="1697">
        <f>SUM(L238,L243,L257,L261,L270,L277,L278)</f>
        <v>1204295</v>
      </c>
    </row>
    <row r="280" spans="1:12" ht="15.75" customHeight="1" thickTop="1" thickBot="1" x14ac:dyDescent="0.25">
      <c r="A280" s="1644" t="s">
        <v>930</v>
      </c>
      <c r="B280" s="1633">
        <v>3000</v>
      </c>
      <c r="C280" s="617"/>
      <c r="D280" s="576">
        <v>981</v>
      </c>
      <c r="E280" s="617"/>
      <c r="F280" s="617"/>
      <c r="G280" s="617"/>
      <c r="H280" s="617"/>
      <c r="I280" s="617"/>
      <c r="J280" s="617"/>
      <c r="K280" s="1699">
        <f>D280</f>
        <v>981</v>
      </c>
      <c r="L280" s="576">
        <v>716</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51" t="s">
        <v>517</v>
      </c>
      <c r="B282" s="691" t="s">
        <v>1955</v>
      </c>
      <c r="C282" s="617"/>
      <c r="D282" s="467"/>
      <c r="E282" s="617"/>
      <c r="F282" s="617"/>
      <c r="G282" s="617"/>
      <c r="H282" s="617"/>
      <c r="I282" s="617"/>
      <c r="J282" s="617"/>
      <c r="K282" s="1691">
        <f>D282</f>
        <v>0</v>
      </c>
      <c r="L282" s="467">
        <v>0</v>
      </c>
    </row>
    <row r="283" spans="1:12" x14ac:dyDescent="0.2">
      <c r="A283" s="1524" t="s">
        <v>322</v>
      </c>
      <c r="B283" s="615">
        <v>4120</v>
      </c>
      <c r="C283" s="617"/>
      <c r="D283" s="466"/>
      <c r="E283" s="617"/>
      <c r="F283" s="617"/>
      <c r="G283" s="617"/>
      <c r="H283" s="617"/>
      <c r="I283" s="617"/>
      <c r="J283" s="617"/>
      <c r="K283" s="1691">
        <f>D283</f>
        <v>0</v>
      </c>
      <c r="L283" s="466">
        <v>0</v>
      </c>
    </row>
    <row r="284" spans="1:12" x14ac:dyDescent="0.2">
      <c r="A284" s="1524"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v>0</v>
      </c>
    </row>
    <row r="289" spans="1:14" x14ac:dyDescent="0.2">
      <c r="A289" s="1524" t="s">
        <v>90</v>
      </c>
      <c r="B289" s="615">
        <v>5120</v>
      </c>
      <c r="C289" s="617"/>
      <c r="D289" s="617"/>
      <c r="E289" s="617"/>
      <c r="F289" s="617"/>
      <c r="G289" s="617"/>
      <c r="H289" s="466"/>
      <c r="I289" s="617"/>
      <c r="J289" s="617"/>
      <c r="K289" s="1691">
        <f>H289</f>
        <v>0</v>
      </c>
      <c r="L289" s="466">
        <v>0</v>
      </c>
    </row>
    <row r="290" spans="1:14" ht="12.75" customHeight="1" x14ac:dyDescent="0.2">
      <c r="A290" s="1524" t="s">
        <v>1232</v>
      </c>
      <c r="B290" s="629" t="s">
        <v>638</v>
      </c>
      <c r="C290" s="617"/>
      <c r="D290" s="617"/>
      <c r="E290" s="617"/>
      <c r="F290" s="617"/>
      <c r="G290" s="617"/>
      <c r="H290" s="466"/>
      <c r="I290" s="617"/>
      <c r="J290" s="617"/>
      <c r="K290" s="1691">
        <f>H290</f>
        <v>0</v>
      </c>
      <c r="L290" s="466">
        <v>0</v>
      </c>
    </row>
    <row r="291" spans="1:14" x14ac:dyDescent="0.2">
      <c r="A291" s="1524" t="s">
        <v>91</v>
      </c>
      <c r="B291" s="615" t="s">
        <v>610</v>
      </c>
      <c r="C291" s="617"/>
      <c r="D291" s="617"/>
      <c r="E291" s="617"/>
      <c r="F291" s="617"/>
      <c r="G291" s="617"/>
      <c r="H291" s="466"/>
      <c r="I291" s="617"/>
      <c r="J291" s="617"/>
      <c r="K291" s="1691">
        <f>H291</f>
        <v>0</v>
      </c>
      <c r="L291" s="466">
        <v>0</v>
      </c>
    </row>
    <row r="292" spans="1:14" x14ac:dyDescent="0.2">
      <c r="A292" s="1524"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932</v>
      </c>
      <c r="B294" s="1633" t="s">
        <v>916</v>
      </c>
      <c r="C294" s="617"/>
      <c r="D294" s="624"/>
      <c r="E294" s="617"/>
      <c r="F294" s="617"/>
      <c r="G294" s="617"/>
      <c r="H294" s="687"/>
      <c r="I294" s="617"/>
      <c r="J294" s="617"/>
      <c r="K294" s="687"/>
      <c r="L294" s="578">
        <v>0</v>
      </c>
    </row>
    <row r="295" spans="1:14" ht="12.75" customHeight="1" thickTop="1" thickBot="1" x14ac:dyDescent="0.25">
      <c r="A295" s="2217" t="s">
        <v>526</v>
      </c>
      <c r="B295" s="2218"/>
      <c r="C295" s="617"/>
      <c r="D295" s="1690">
        <f>SUM(D229,D279,D280,D285)</f>
        <v>1461748</v>
      </c>
      <c r="E295" s="617"/>
      <c r="F295" s="617"/>
      <c r="G295" s="617"/>
      <c r="H295" s="1690">
        <f>H293</f>
        <v>0</v>
      </c>
      <c r="I295" s="617"/>
      <c r="J295" s="617"/>
      <c r="K295" s="1690">
        <f>SUM(K229,K279,K280,K285,K293,K294)</f>
        <v>1461748</v>
      </c>
      <c r="L295" s="1690">
        <f>SUM(L229,L279,L280,L285,L293,L294)</f>
        <v>1736521</v>
      </c>
    </row>
    <row r="296" spans="1:14" ht="13.5" thickTop="1" x14ac:dyDescent="0.2">
      <c r="A296" s="2199" t="s">
        <v>1053</v>
      </c>
      <c r="B296" s="2200"/>
      <c r="C296" s="617"/>
      <c r="D296" s="619"/>
      <c r="E296" s="617"/>
      <c r="F296" s="617"/>
      <c r="G296" s="617"/>
      <c r="H296" s="688"/>
      <c r="I296" s="617"/>
      <c r="J296" s="617"/>
      <c r="K296" s="1704">
        <f>'Revenues 9-14'!G275-'Expenditures 15-22'!K295</f>
        <v>372613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9" t="s">
        <v>145</v>
      </c>
      <c r="B298" s="2203"/>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7" t="s">
        <v>629</v>
      </c>
      <c r="B301" s="690">
        <v>2530</v>
      </c>
      <c r="C301" s="466"/>
      <c r="D301" s="466"/>
      <c r="E301" s="466"/>
      <c r="F301" s="466"/>
      <c r="G301" s="466"/>
      <c r="H301" s="466"/>
      <c r="I301" s="467"/>
      <c r="J301" s="467"/>
      <c r="K301" s="1691">
        <f>SUM(C301:J301)</f>
        <v>0</v>
      </c>
      <c r="L301" s="467">
        <v>0</v>
      </c>
    </row>
    <row r="302" spans="1:14" ht="13.5" customHeight="1" x14ac:dyDescent="0.2">
      <c r="A302" s="1537"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8" t="s">
        <v>1960</v>
      </c>
      <c r="B306" s="691" t="s">
        <v>1955</v>
      </c>
      <c r="C306" s="617"/>
      <c r="D306" s="617"/>
      <c r="E306" s="467"/>
      <c r="F306" s="617"/>
      <c r="G306" s="617"/>
      <c r="H306" s="467"/>
      <c r="I306" s="617"/>
      <c r="J306" s="617"/>
      <c r="K306" s="1691">
        <f>SUM(E306,H306)</f>
        <v>0</v>
      </c>
      <c r="L306" s="467">
        <v>0</v>
      </c>
    </row>
    <row r="307" spans="1:14" x14ac:dyDescent="0.2">
      <c r="A307" s="1524" t="s">
        <v>322</v>
      </c>
      <c r="B307" s="615">
        <v>4120</v>
      </c>
      <c r="C307" s="617"/>
      <c r="D307" s="617"/>
      <c r="E307" s="467"/>
      <c r="F307" s="617"/>
      <c r="G307" s="617"/>
      <c r="H307" s="467"/>
      <c r="I307" s="477"/>
      <c r="J307" s="617"/>
      <c r="K307" s="1691">
        <f>SUM(E307,H307)</f>
        <v>0</v>
      </c>
      <c r="L307" s="466">
        <v>0</v>
      </c>
    </row>
    <row r="308" spans="1:14" x14ac:dyDescent="0.2">
      <c r="A308" s="1524" t="s">
        <v>721</v>
      </c>
      <c r="B308" s="615">
        <v>4140</v>
      </c>
      <c r="C308" s="617"/>
      <c r="D308" s="617"/>
      <c r="E308" s="467"/>
      <c r="F308" s="617"/>
      <c r="G308" s="617"/>
      <c r="H308" s="467"/>
      <c r="I308" s="477"/>
      <c r="J308" s="617"/>
      <c r="K308" s="1691">
        <f>SUM(E308,H308)</f>
        <v>0</v>
      </c>
      <c r="L308" s="466">
        <v>0</v>
      </c>
    </row>
    <row r="309" spans="1:14" ht="12.75" customHeight="1" x14ac:dyDescent="0.2">
      <c r="A309" s="1528"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v>0</v>
      </c>
    </row>
    <row r="312" spans="1:14" s="675" customFormat="1" ht="12.75" customHeight="1" thickTop="1" thickBot="1" x14ac:dyDescent="0.25">
      <c r="A312" s="2214" t="s">
        <v>295</v>
      </c>
      <c r="B312" s="2215"/>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210" t="s">
        <v>1053</v>
      </c>
      <c r="B313" s="2211"/>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3" t="s">
        <v>151</v>
      </c>
      <c r="B315" s="2224"/>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5" t="s">
        <v>954</v>
      </c>
      <c r="B317" s="2224"/>
      <c r="C317" s="1576"/>
      <c r="D317" s="1577"/>
      <c r="E317" s="1577"/>
      <c r="F317" s="1577"/>
      <c r="G317" s="1577"/>
      <c r="H317" s="1577"/>
      <c r="I317" s="1577"/>
      <c r="J317" s="1577"/>
      <c r="K317" s="1577"/>
      <c r="L317" s="1578"/>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9"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3" t="s">
        <v>1906</v>
      </c>
      <c r="B320" s="699" t="s">
        <v>300</v>
      </c>
      <c r="C320" s="467"/>
      <c r="D320" s="467"/>
      <c r="E320" s="467">
        <v>292081</v>
      </c>
      <c r="F320" s="467"/>
      <c r="G320" s="467"/>
      <c r="H320" s="467"/>
      <c r="I320" s="467"/>
      <c r="J320" s="467"/>
      <c r="K320" s="1691">
        <f t="shared" ref="K320:K327" si="24">SUM(C320:J320)</f>
        <v>292081</v>
      </c>
      <c r="L320" s="467">
        <v>292081</v>
      </c>
      <c r="M320" s="666"/>
      <c r="N320" s="666"/>
    </row>
    <row r="321" spans="1:14" s="675" customFormat="1" x14ac:dyDescent="0.2">
      <c r="A321" s="1539" t="s">
        <v>318</v>
      </c>
      <c r="B321" s="698" t="s">
        <v>301</v>
      </c>
      <c r="C321" s="467"/>
      <c r="D321" s="467"/>
      <c r="E321" s="467">
        <v>32652</v>
      </c>
      <c r="F321" s="467"/>
      <c r="G321" s="467"/>
      <c r="H321" s="467"/>
      <c r="I321" s="467"/>
      <c r="J321" s="467"/>
      <c r="K321" s="1691">
        <f t="shared" si="24"/>
        <v>32652</v>
      </c>
      <c r="L321" s="467">
        <v>35000</v>
      </c>
      <c r="M321" s="666"/>
      <c r="N321" s="666"/>
    </row>
    <row r="322" spans="1:14" s="675" customFormat="1" x14ac:dyDescent="0.2">
      <c r="A322" s="1539" t="s">
        <v>256</v>
      </c>
      <c r="B322" s="698" t="s">
        <v>302</v>
      </c>
      <c r="C322" s="467"/>
      <c r="D322" s="467"/>
      <c r="E322" s="467"/>
      <c r="F322" s="467"/>
      <c r="G322" s="467"/>
      <c r="H322" s="467"/>
      <c r="I322" s="467"/>
      <c r="J322" s="467"/>
      <c r="K322" s="1691">
        <f t="shared" si="24"/>
        <v>0</v>
      </c>
      <c r="L322" s="467">
        <v>0</v>
      </c>
      <c r="M322" s="666"/>
      <c r="N322" s="666"/>
    </row>
    <row r="323" spans="1:14" s="675" customFormat="1" x14ac:dyDescent="0.2">
      <c r="A323" s="1539" t="s">
        <v>726</v>
      </c>
      <c r="B323" s="698" t="s">
        <v>303</v>
      </c>
      <c r="C323" s="467"/>
      <c r="D323" s="467"/>
      <c r="E323" s="467">
        <v>29091</v>
      </c>
      <c r="F323" s="467"/>
      <c r="G323" s="467"/>
      <c r="H323" s="467"/>
      <c r="I323" s="467"/>
      <c r="J323" s="467"/>
      <c r="K323" s="1691">
        <f t="shared" si="24"/>
        <v>29091</v>
      </c>
      <c r="L323" s="467">
        <v>40031</v>
      </c>
      <c r="M323" s="666"/>
      <c r="N323" s="666"/>
    </row>
    <row r="324" spans="1:14" s="675" customFormat="1" x14ac:dyDescent="0.2">
      <c r="A324" s="1539"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39"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39"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39" t="s">
        <v>1028</v>
      </c>
      <c r="B327" s="698" t="s">
        <v>307</v>
      </c>
      <c r="C327" s="467"/>
      <c r="D327" s="467"/>
      <c r="E327" s="467">
        <v>59597</v>
      </c>
      <c r="F327" s="467"/>
      <c r="G327" s="467"/>
      <c r="H327" s="467"/>
      <c r="I327" s="467"/>
      <c r="J327" s="467"/>
      <c r="K327" s="1691">
        <f t="shared" si="24"/>
        <v>59597</v>
      </c>
      <c r="L327" s="467">
        <v>160000</v>
      </c>
      <c r="M327" s="666"/>
      <c r="N327" s="666"/>
    </row>
    <row r="328" spans="1:14" s="675" customFormat="1" x14ac:dyDescent="0.2">
      <c r="A328" s="1540" t="s">
        <v>492</v>
      </c>
      <c r="B328" s="691" t="s">
        <v>1194</v>
      </c>
      <c r="C328" s="474"/>
      <c r="D328" s="474"/>
      <c r="E328" s="474">
        <v>158840</v>
      </c>
      <c r="F328" s="474"/>
      <c r="G328" s="474"/>
      <c r="H328" s="474"/>
      <c r="I328" s="474"/>
      <c r="J328" s="474"/>
      <c r="K328" s="1719">
        <f>SUM(C328:J328)</f>
        <v>158840</v>
      </c>
      <c r="L328" s="474">
        <v>170000</v>
      </c>
      <c r="M328" s="666"/>
      <c r="N328" s="666"/>
    </row>
    <row r="329" spans="1:14" s="675" customFormat="1" x14ac:dyDescent="0.2">
      <c r="A329" s="1540"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572261</v>
      </c>
      <c r="F330" s="1690">
        <f t="shared" si="25"/>
        <v>0</v>
      </c>
      <c r="G330" s="1690">
        <f t="shared" si="25"/>
        <v>0</v>
      </c>
      <c r="H330" s="1690">
        <f t="shared" si="25"/>
        <v>0</v>
      </c>
      <c r="I330" s="1690">
        <f t="shared" si="25"/>
        <v>0</v>
      </c>
      <c r="J330" s="1690">
        <f t="shared" si="25"/>
        <v>0</v>
      </c>
      <c r="K330" s="1690">
        <f>SUM(K319:K329)</f>
        <v>572261</v>
      </c>
      <c r="L330" s="1690">
        <f>SUM(L319:L329)</f>
        <v>697112</v>
      </c>
      <c r="M330" s="666"/>
      <c r="N330" s="666"/>
    </row>
    <row r="331" spans="1:14" s="675" customFormat="1" ht="12.75" customHeight="1" thickTop="1" x14ac:dyDescent="0.2">
      <c r="A331" s="1852" t="s">
        <v>1961</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1955</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1957</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1962</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8" t="s">
        <v>89</v>
      </c>
      <c r="B337" s="691" t="s">
        <v>956</v>
      </c>
      <c r="C337" s="639"/>
      <c r="D337" s="639"/>
      <c r="E337" s="639"/>
      <c r="F337" s="639"/>
      <c r="G337" s="639"/>
      <c r="H337" s="478"/>
      <c r="I337" s="639"/>
      <c r="J337" s="639"/>
      <c r="K337" s="1691">
        <f>H337</f>
        <v>0</v>
      </c>
      <c r="L337" s="478">
        <v>0</v>
      </c>
    </row>
    <row r="338" spans="1:14" ht="12.75" customHeight="1" x14ac:dyDescent="0.2">
      <c r="A338" s="1538" t="s">
        <v>1232</v>
      </c>
      <c r="B338" s="691" t="s">
        <v>638</v>
      </c>
      <c r="C338" s="639"/>
      <c r="D338" s="639"/>
      <c r="E338" s="639"/>
      <c r="F338" s="639"/>
      <c r="G338" s="639"/>
      <c r="H338" s="478"/>
      <c r="I338" s="639"/>
      <c r="J338" s="639"/>
      <c r="K338" s="1691">
        <f>H338</f>
        <v>0</v>
      </c>
      <c r="L338" s="478">
        <v>0</v>
      </c>
    </row>
    <row r="339" spans="1:14" x14ac:dyDescent="0.2">
      <c r="A339" s="1524"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572261</v>
      </c>
      <c r="F342" s="1690">
        <f>SUM(F330)</f>
        <v>0</v>
      </c>
      <c r="G342" s="1690">
        <f>SUM(G330)</f>
        <v>0</v>
      </c>
      <c r="H342" s="1690">
        <f>SUM(H330,H334,H340)</f>
        <v>0</v>
      </c>
      <c r="I342" s="1690">
        <f>SUM(I330)</f>
        <v>0</v>
      </c>
      <c r="J342" s="1690">
        <f>SUM(J330)</f>
        <v>0</v>
      </c>
      <c r="K342" s="1690">
        <f>SUM(K330,K334,K340)</f>
        <v>572261</v>
      </c>
      <c r="L342" s="1697">
        <f>SUM(L330,L340,L341)</f>
        <v>697112</v>
      </c>
    </row>
    <row r="343" spans="1:14" ht="12.75" customHeight="1" thickTop="1" x14ac:dyDescent="0.2">
      <c r="A343" s="2212" t="s">
        <v>1053</v>
      </c>
      <c r="B343" s="2213"/>
      <c r="C343" s="617"/>
      <c r="D343" s="617"/>
      <c r="E343" s="617"/>
      <c r="F343" s="617"/>
      <c r="G343" s="617"/>
      <c r="H343" s="617"/>
      <c r="I343" s="617"/>
      <c r="J343" s="617"/>
      <c r="K343" s="1704">
        <f>'Revenues 9-14'!J275-'Expenditures 15-22'!K342</f>
        <v>148340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2" t="s">
        <v>1023</v>
      </c>
      <c r="B345" s="2203"/>
      <c r="C345" s="1571"/>
      <c r="D345" s="1572"/>
      <c r="E345" s="1572"/>
      <c r="F345" s="1572"/>
      <c r="G345" s="1572"/>
      <c r="H345" s="1572"/>
      <c r="I345" s="1572"/>
      <c r="J345" s="1572"/>
      <c r="K345" s="1572"/>
      <c r="L345" s="1573"/>
      <c r="M345" s="668"/>
      <c r="N345" s="668"/>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4" t="s">
        <v>4</v>
      </c>
      <c r="B348" s="615">
        <v>2530</v>
      </c>
      <c r="C348" s="466"/>
      <c r="D348" s="466"/>
      <c r="E348" s="466">
        <v>39723</v>
      </c>
      <c r="F348" s="466"/>
      <c r="G348" s="466">
        <v>74641</v>
      </c>
      <c r="H348" s="466"/>
      <c r="I348" s="467"/>
      <c r="J348" s="467"/>
      <c r="K348" s="1691">
        <f>SUM(C348:J348)</f>
        <v>114364</v>
      </c>
      <c r="L348" s="466">
        <v>151026</v>
      </c>
    </row>
    <row r="349" spans="1:14" x14ac:dyDescent="0.2">
      <c r="A349" s="1524" t="s">
        <v>206</v>
      </c>
      <c r="B349" s="615">
        <v>2540</v>
      </c>
      <c r="C349" s="466"/>
      <c r="D349" s="466"/>
      <c r="E349" s="466"/>
      <c r="F349" s="466"/>
      <c r="G349" s="466"/>
      <c r="H349" s="466"/>
      <c r="I349" s="467"/>
      <c r="J349" s="467"/>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39723</v>
      </c>
      <c r="F350" s="1690">
        <f t="shared" si="26"/>
        <v>0</v>
      </c>
      <c r="G350" s="1690">
        <f t="shared" si="26"/>
        <v>74641</v>
      </c>
      <c r="H350" s="1690">
        <f t="shared" si="26"/>
        <v>0</v>
      </c>
      <c r="I350" s="1690">
        <f t="shared" si="26"/>
        <v>0</v>
      </c>
      <c r="J350" s="1690">
        <f t="shared" si="26"/>
        <v>0</v>
      </c>
      <c r="K350" s="1690">
        <f t="shared" si="26"/>
        <v>114364</v>
      </c>
      <c r="L350" s="1690">
        <f t="shared" si="26"/>
        <v>151026</v>
      </c>
    </row>
    <row r="351" spans="1:14" ht="12.75" customHeight="1" thickTop="1" x14ac:dyDescent="0.2">
      <c r="A351" s="1530"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39723</v>
      </c>
      <c r="F352" s="1690">
        <f t="shared" si="27"/>
        <v>0</v>
      </c>
      <c r="G352" s="1690">
        <f t="shared" si="27"/>
        <v>74641</v>
      </c>
      <c r="H352" s="1690">
        <f t="shared" si="27"/>
        <v>0</v>
      </c>
      <c r="I352" s="1690">
        <f t="shared" si="27"/>
        <v>0</v>
      </c>
      <c r="J352" s="1690">
        <f t="shared" si="27"/>
        <v>0</v>
      </c>
      <c r="K352" s="1690">
        <f t="shared" si="27"/>
        <v>114364</v>
      </c>
      <c r="L352" s="1690">
        <f t="shared" si="27"/>
        <v>151026</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v>0</v>
      </c>
    </row>
    <row r="355" spans="1:14" ht="12.75" customHeight="1" x14ac:dyDescent="0.2">
      <c r="A355" s="1533" t="s">
        <v>1964</v>
      </c>
      <c r="B355" s="691" t="s">
        <v>1957</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v>0</v>
      </c>
    </row>
    <row r="361" spans="1:14" ht="12.75" customHeight="1" x14ac:dyDescent="0.2">
      <c r="A361" s="1525"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1"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39723</v>
      </c>
      <c r="F367" s="1690">
        <f t="shared" si="28"/>
        <v>0</v>
      </c>
      <c r="G367" s="1690">
        <f t="shared" si="28"/>
        <v>74641</v>
      </c>
      <c r="H367" s="1690">
        <f t="shared" si="28"/>
        <v>0</v>
      </c>
      <c r="I367" s="1690">
        <f t="shared" si="28"/>
        <v>0</v>
      </c>
      <c r="J367" s="1690">
        <f t="shared" si="28"/>
        <v>0</v>
      </c>
      <c r="K367" s="1690">
        <f t="shared" si="28"/>
        <v>114364</v>
      </c>
      <c r="L367" s="1690">
        <f t="shared" si="28"/>
        <v>151026</v>
      </c>
    </row>
    <row r="368" spans="1:14" ht="13.5" thickTop="1" x14ac:dyDescent="0.2">
      <c r="A368" s="2199" t="s">
        <v>1053</v>
      </c>
      <c r="B368" s="2200"/>
      <c r="C368" s="655"/>
      <c r="D368" s="655"/>
      <c r="E368" s="627"/>
      <c r="F368" s="627"/>
      <c r="G368" s="627"/>
      <c r="H368" s="627"/>
      <c r="I368" s="627"/>
      <c r="J368" s="624"/>
      <c r="K368" s="1691">
        <f>'Revenues 9-14'!K275-'Expenditures 15-22'!K367</f>
        <v>36221</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26" t="s">
        <v>1903</v>
      </c>
      <c r="B2" s="1548" t="s">
        <v>2035</v>
      </c>
      <c r="C2" s="715" t="s">
        <v>1908</v>
      </c>
      <c r="D2" s="715" t="s">
        <v>1909</v>
      </c>
      <c r="E2" s="715" t="s">
        <v>1910</v>
      </c>
      <c r="F2" s="715" t="s">
        <v>1911</v>
      </c>
    </row>
    <row r="3" spans="1:6" ht="12" customHeight="1" x14ac:dyDescent="0.2">
      <c r="A3" s="2227"/>
      <c r="B3" s="1545"/>
      <c r="C3" s="1546"/>
      <c r="D3" s="1547" t="s">
        <v>274</v>
      </c>
      <c r="E3" s="1546"/>
      <c r="F3" s="1547" t="s">
        <v>275</v>
      </c>
    </row>
    <row r="4" spans="1:6" ht="13.7" customHeight="1" x14ac:dyDescent="0.2">
      <c r="A4" s="716" t="s">
        <v>1217</v>
      </c>
      <c r="B4" s="1769">
        <f>'Revenues 9-14'!C5</f>
        <v>11598766</v>
      </c>
      <c r="C4" s="1544">
        <v>1537162</v>
      </c>
      <c r="D4" s="1772">
        <f>B4-C4</f>
        <v>10061604</v>
      </c>
      <c r="E4" s="1544">
        <v>11806461</v>
      </c>
      <c r="F4" s="1772">
        <f>E4-C4</f>
        <v>10269299</v>
      </c>
    </row>
    <row r="5" spans="1:6" ht="13.7" customHeight="1" x14ac:dyDescent="0.2">
      <c r="A5" s="716" t="s">
        <v>925</v>
      </c>
      <c r="B5" s="1770">
        <f>'Revenues 9-14'!D5</f>
        <v>2178739</v>
      </c>
      <c r="C5" s="585">
        <v>284898</v>
      </c>
      <c r="D5" s="1773">
        <f t="shared" ref="D5:D18" si="0">B5-C5</f>
        <v>1893841</v>
      </c>
      <c r="E5" s="585">
        <v>2188224</v>
      </c>
      <c r="F5" s="1773">
        <f>E5-C5</f>
        <v>1903326</v>
      </c>
    </row>
    <row r="6" spans="1:6" ht="13.7" customHeight="1" x14ac:dyDescent="0.2">
      <c r="A6" s="716" t="s">
        <v>431</v>
      </c>
      <c r="B6" s="1770">
        <f>'Revenues 9-14'!E5</f>
        <v>2597609</v>
      </c>
      <c r="C6" s="585">
        <v>339832</v>
      </c>
      <c r="D6" s="1773">
        <f t="shared" si="0"/>
        <v>2257777</v>
      </c>
      <c r="E6" s="585">
        <v>2610143</v>
      </c>
      <c r="F6" s="1773">
        <f t="shared" ref="F6:F18" si="1">E6-C6</f>
        <v>2270311</v>
      </c>
    </row>
    <row r="7" spans="1:6" ht="13.7" customHeight="1" x14ac:dyDescent="0.2">
      <c r="A7" s="716" t="s">
        <v>157</v>
      </c>
      <c r="B7" s="1770">
        <f>'Revenues 9-14'!F5</f>
        <v>1592893</v>
      </c>
      <c r="C7" s="585">
        <v>221336</v>
      </c>
      <c r="D7" s="1773">
        <f t="shared" si="0"/>
        <v>1371557</v>
      </c>
      <c r="E7" s="585">
        <v>1700017</v>
      </c>
      <c r="F7" s="1773">
        <f t="shared" si="1"/>
        <v>1478681</v>
      </c>
    </row>
    <row r="8" spans="1:6" ht="13.7" customHeight="1" x14ac:dyDescent="0.2">
      <c r="A8" s="716" t="s">
        <v>1241</v>
      </c>
      <c r="B8" s="1770">
        <f>'Revenues 9-14'!G5</f>
        <v>741456</v>
      </c>
      <c r="C8" s="585">
        <v>96344</v>
      </c>
      <c r="D8" s="1773">
        <f t="shared" si="0"/>
        <v>645112</v>
      </c>
      <c r="E8" s="585">
        <v>739999</v>
      </c>
      <c r="F8" s="1773">
        <f t="shared" si="1"/>
        <v>643655</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99537</v>
      </c>
      <c r="C10" s="585">
        <v>13021</v>
      </c>
      <c r="D10" s="1773">
        <f t="shared" si="0"/>
        <v>86516</v>
      </c>
      <c r="E10" s="585">
        <v>100016</v>
      </c>
      <c r="F10" s="1773">
        <f t="shared" si="1"/>
        <v>86995</v>
      </c>
    </row>
    <row r="11" spans="1:6" x14ac:dyDescent="0.2">
      <c r="A11" s="716" t="s">
        <v>429</v>
      </c>
      <c r="B11" s="1770">
        <f>'Revenues 9-14'!J5</f>
        <v>716553</v>
      </c>
      <c r="C11" s="585">
        <v>92442</v>
      </c>
      <c r="D11" s="1773">
        <f t="shared" si="0"/>
        <v>624111</v>
      </c>
      <c r="E11" s="585">
        <v>710006</v>
      </c>
      <c r="F11" s="1773">
        <f t="shared" si="1"/>
        <v>617564</v>
      </c>
    </row>
    <row r="12" spans="1:6" ht="13.7" customHeight="1" x14ac:dyDescent="0.2">
      <c r="A12" s="716" t="s">
        <v>159</v>
      </c>
      <c r="B12" s="1770">
        <f>'Revenues 9-14'!K5</f>
        <v>149324</v>
      </c>
      <c r="C12" s="585">
        <v>19533</v>
      </c>
      <c r="D12" s="1773">
        <f t="shared" si="0"/>
        <v>129791</v>
      </c>
      <c r="E12" s="585">
        <v>150025</v>
      </c>
      <c r="F12" s="1773">
        <f t="shared" si="1"/>
        <v>130492</v>
      </c>
    </row>
    <row r="13" spans="1:6" ht="13.7" customHeight="1" x14ac:dyDescent="0.2">
      <c r="A13" s="716" t="s">
        <v>993</v>
      </c>
      <c r="B13" s="1770">
        <f>SUM('Revenues 9-14'!C6:D6)</f>
        <v>149324</v>
      </c>
      <c r="C13" s="585">
        <v>19533</v>
      </c>
      <c r="D13" s="1773">
        <f t="shared" si="0"/>
        <v>129791</v>
      </c>
      <c r="E13" s="585">
        <v>150025</v>
      </c>
      <c r="F13" s="1773">
        <f t="shared" si="1"/>
        <v>130492</v>
      </c>
    </row>
    <row r="14" spans="1:6" ht="13.7" customHeight="1" x14ac:dyDescent="0.2">
      <c r="A14" s="716" t="s">
        <v>430</v>
      </c>
      <c r="B14" s="1770">
        <f>SUM('Revenues 9-14'!C7:D7,'Revenues 9-14'!F7:H7)</f>
        <v>2074724</v>
      </c>
      <c r="C14" s="585">
        <v>260393</v>
      </c>
      <c r="D14" s="1773">
        <f t="shared" si="0"/>
        <v>1814331</v>
      </c>
      <c r="E14" s="585">
        <v>2000008</v>
      </c>
      <c r="F14" s="1773">
        <f t="shared" si="1"/>
        <v>1739615</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985310</v>
      </c>
      <c r="C16" s="585">
        <v>128895</v>
      </c>
      <c r="D16" s="1773">
        <f t="shared" si="0"/>
        <v>856415</v>
      </c>
      <c r="E16" s="585">
        <v>990011</v>
      </c>
      <c r="F16" s="1773">
        <f t="shared" si="1"/>
        <v>861116</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22884235</v>
      </c>
      <c r="C19" s="1771">
        <f>SUM(C4:C18)</f>
        <v>3013389</v>
      </c>
      <c r="D19" s="1771">
        <f>SUM(D4:D18)</f>
        <v>19870846</v>
      </c>
      <c r="E19" s="1771">
        <f>SUM(E4:E18)</f>
        <v>23144935</v>
      </c>
      <c r="F19" s="1771">
        <f>SUM(F4:F18)</f>
        <v>20131546</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6" colorId="8" zoomScale="110" zoomScaleNormal="110" workbookViewId="0">
      <selection activeCell="D26" sqref="D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8" t="s">
        <v>650</v>
      </c>
      <c r="B1" s="2246"/>
      <c r="C1" s="722"/>
    </row>
    <row r="2" spans="1:7" ht="33.75" x14ac:dyDescent="0.2">
      <c r="A2" s="2253" t="s">
        <v>1903</v>
      </c>
      <c r="B2" s="2254"/>
      <c r="C2" s="1907" t="s">
        <v>2036</v>
      </c>
      <c r="D2" s="724" t="s">
        <v>2043</v>
      </c>
      <c r="E2" s="724" t="s">
        <v>2044</v>
      </c>
      <c r="F2" s="1907" t="s">
        <v>2037</v>
      </c>
    </row>
    <row r="3" spans="1:7" ht="15.75" customHeight="1" x14ac:dyDescent="0.2">
      <c r="A3" s="2255" t="s">
        <v>1176</v>
      </c>
      <c r="B3" s="2256"/>
      <c r="C3" s="2249"/>
      <c r="D3" s="2250"/>
      <c r="E3" s="2250"/>
      <c r="F3" s="2251"/>
    </row>
    <row r="4" spans="1:7" ht="12.75" customHeight="1" thickBot="1" x14ac:dyDescent="0.25">
      <c r="A4" s="2243" t="s">
        <v>651</v>
      </c>
      <c r="B4" s="2244"/>
      <c r="C4" s="581"/>
      <c r="D4" s="581"/>
      <c r="E4" s="581"/>
      <c r="F4" s="1775">
        <f>SUM(C4+D4)-E4</f>
        <v>0</v>
      </c>
    </row>
    <row r="5" spans="1:7" ht="15.75" customHeight="1" thickTop="1" x14ac:dyDescent="0.2">
      <c r="A5" s="2247" t="s">
        <v>1172</v>
      </c>
      <c r="B5" s="2242"/>
      <c r="C5" s="2236"/>
      <c r="D5" s="2237"/>
      <c r="E5" s="2237"/>
      <c r="F5" s="2238"/>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39" t="s">
        <v>652</v>
      </c>
      <c r="B15" s="2240"/>
      <c r="C15" s="1775">
        <f>SUM(C6:C14)</f>
        <v>0</v>
      </c>
      <c r="D15" s="1775">
        <f>SUM(D6:D14)</f>
        <v>0</v>
      </c>
      <c r="E15" s="1775">
        <f>SUM(E6:E14)</f>
        <v>0</v>
      </c>
      <c r="F15" s="1775">
        <f>SUM(F6:F14)</f>
        <v>0</v>
      </c>
      <c r="G15" s="552"/>
    </row>
    <row r="16" spans="1:7" s="202" customFormat="1" ht="15.75" customHeight="1" thickTop="1" x14ac:dyDescent="0.2">
      <c r="A16" s="2252" t="s">
        <v>1173</v>
      </c>
      <c r="B16" s="2242"/>
      <c r="C16" s="2236"/>
      <c r="D16" s="2237"/>
      <c r="E16" s="2237"/>
      <c r="F16" s="2238"/>
    </row>
    <row r="17" spans="1:11" ht="12.75" customHeight="1" thickBot="1" x14ac:dyDescent="0.25">
      <c r="A17" s="2234" t="s">
        <v>66</v>
      </c>
      <c r="B17" s="2235"/>
      <c r="C17" s="727"/>
      <c r="D17" s="585"/>
      <c r="E17" s="727"/>
      <c r="F17" s="1775">
        <f>SUM(C17+D17)-E17</f>
        <v>0</v>
      </c>
    </row>
    <row r="18" spans="1:11" ht="12.75" customHeight="1" thickTop="1" thickBot="1" x14ac:dyDescent="0.25">
      <c r="A18" s="2234" t="s">
        <v>6</v>
      </c>
      <c r="B18" s="2235"/>
      <c r="C18" s="727"/>
      <c r="D18" s="585"/>
      <c r="E18" s="727"/>
      <c r="F18" s="1775">
        <f>SUM(C18+D18)-E18</f>
        <v>0</v>
      </c>
    </row>
    <row r="19" spans="1:11" ht="12.75" customHeight="1" thickTop="1" thickBot="1" x14ac:dyDescent="0.25">
      <c r="A19" s="2234" t="s">
        <v>406</v>
      </c>
      <c r="B19" s="2235"/>
      <c r="C19" s="727"/>
      <c r="D19" s="585"/>
      <c r="E19" s="727"/>
      <c r="F19" s="1775">
        <f>SUM(C19+D19)-E19</f>
        <v>0</v>
      </c>
    </row>
    <row r="20" spans="1:11" ht="12.75" customHeight="1" thickTop="1" thickBot="1" x14ac:dyDescent="0.25">
      <c r="A20" s="2234" t="s">
        <v>468</v>
      </c>
      <c r="B20" s="2235"/>
      <c r="C20" s="727"/>
      <c r="D20" s="585"/>
      <c r="E20" s="727"/>
      <c r="F20" s="1775">
        <f>SUM(C20+D20)-E20</f>
        <v>0</v>
      </c>
    </row>
    <row r="21" spans="1:11" ht="14.25" thickTop="1" thickBot="1" x14ac:dyDescent="0.25">
      <c r="A21" s="2239" t="s">
        <v>653</v>
      </c>
      <c r="B21" s="2240"/>
      <c r="C21" s="1775">
        <f>SUM(C17:C20)</f>
        <v>0</v>
      </c>
      <c r="D21" s="1775">
        <f>SUM(D17:D20)</f>
        <v>0</v>
      </c>
      <c r="E21" s="1775">
        <f>SUM(E17:E20)</f>
        <v>0</v>
      </c>
      <c r="F21" s="1775">
        <f>SUM(F17:F20)</f>
        <v>0</v>
      </c>
      <c r="G21" s="552"/>
    </row>
    <row r="22" spans="1:11" ht="15.75" customHeight="1" thickTop="1" x14ac:dyDescent="0.2">
      <c r="A22" s="2241" t="s">
        <v>1174</v>
      </c>
      <c r="B22" s="2242"/>
      <c r="C22" s="2236"/>
      <c r="D22" s="2237"/>
      <c r="E22" s="2237"/>
      <c r="F22" s="2238"/>
    </row>
    <row r="23" spans="1:11" ht="13.5" thickBot="1" x14ac:dyDescent="0.25">
      <c r="A23" s="2243" t="s">
        <v>654</v>
      </c>
      <c r="B23" s="2244"/>
      <c r="C23" s="581"/>
      <c r="D23" s="581"/>
      <c r="E23" s="581"/>
      <c r="F23" s="1775">
        <f>SUM(C23+D23)-E23</f>
        <v>0</v>
      </c>
      <c r="G23" s="552"/>
    </row>
    <row r="24" spans="1:11" ht="15.75" customHeight="1" thickTop="1" x14ac:dyDescent="0.2">
      <c r="A24" s="2241" t="s">
        <v>1175</v>
      </c>
      <c r="B24" s="2242"/>
      <c r="C24" s="2236"/>
      <c r="D24" s="2237"/>
      <c r="E24" s="2237"/>
      <c r="F24" s="2238"/>
    </row>
    <row r="25" spans="1:11" ht="13.5" thickBot="1" x14ac:dyDescent="0.25">
      <c r="A25" s="2243" t="s">
        <v>655</v>
      </c>
      <c r="B25" s="2244"/>
      <c r="C25" s="581"/>
      <c r="D25" s="581"/>
      <c r="E25" s="581"/>
      <c r="F25" s="1775">
        <f>SUM(C25+D25)-E25</f>
        <v>0</v>
      </c>
      <c r="G25" s="552"/>
    </row>
    <row r="26" spans="1:11" ht="15.75" customHeight="1" thickTop="1" x14ac:dyDescent="0.2">
      <c r="A26" s="2247" t="s">
        <v>678</v>
      </c>
      <c r="B26" s="2242"/>
      <c r="C26" s="728"/>
      <c r="D26" s="728"/>
      <c r="E26" s="728"/>
      <c r="F26" s="729"/>
    </row>
    <row r="27" spans="1:11" ht="13.5" thickBot="1" x14ac:dyDescent="0.25">
      <c r="A27" s="2239" t="s">
        <v>1130</v>
      </c>
      <c r="B27" s="2240"/>
      <c r="C27" s="585"/>
      <c r="D27" s="585"/>
      <c r="E27" s="585"/>
      <c r="F27" s="1775">
        <f>SUM(C27+D27)-E27</f>
        <v>0</v>
      </c>
      <c r="G27" s="552"/>
    </row>
    <row r="28" spans="1:11" ht="7.5" customHeight="1" thickTop="1" x14ac:dyDescent="0.2">
      <c r="A28" s="594"/>
    </row>
    <row r="29" spans="1:11" ht="23.25" customHeight="1" x14ac:dyDescent="0.2">
      <c r="A29" s="2245" t="s">
        <v>603</v>
      </c>
      <c r="B29" s="2246"/>
      <c r="C29" s="730"/>
      <c r="D29" s="730"/>
      <c r="E29" s="730"/>
      <c r="F29" s="730"/>
      <c r="G29" s="730"/>
      <c r="H29" s="730"/>
      <c r="I29" s="730"/>
      <c r="J29" s="730"/>
    </row>
    <row r="30" spans="1:11" ht="33.75" x14ac:dyDescent="0.2">
      <c r="A30" s="1549" t="s">
        <v>1131</v>
      </c>
      <c r="B30" s="731" t="s">
        <v>1186</v>
      </c>
      <c r="C30" s="1908" t="s">
        <v>604</v>
      </c>
      <c r="D30" s="1908" t="s">
        <v>1772</v>
      </c>
      <c r="E30" s="1908" t="s">
        <v>2038</v>
      </c>
      <c r="F30" s="1908" t="s">
        <v>2039</v>
      </c>
      <c r="G30" s="1908" t="s">
        <v>2042</v>
      </c>
      <c r="H30" s="1908" t="s">
        <v>2040</v>
      </c>
      <c r="I30" s="1908" t="s">
        <v>2041</v>
      </c>
      <c r="J30" s="1909" t="s">
        <v>2</v>
      </c>
      <c r="K30" s="732"/>
    </row>
    <row r="31" spans="1:11" ht="12" customHeight="1" x14ac:dyDescent="0.2">
      <c r="A31" s="733" t="s">
        <v>2075</v>
      </c>
      <c r="B31" s="734">
        <v>37714</v>
      </c>
      <c r="C31" s="735">
        <v>20182581</v>
      </c>
      <c r="D31" s="736">
        <v>3</v>
      </c>
      <c r="E31" s="735">
        <v>4503434</v>
      </c>
      <c r="F31" s="735"/>
      <c r="G31" s="735">
        <v>-654000</v>
      </c>
      <c r="H31" s="735">
        <v>845431</v>
      </c>
      <c r="I31" s="1776">
        <f>((E31+F31)-H31)+G31</f>
        <v>3004003</v>
      </c>
      <c r="J31" s="735">
        <v>719193</v>
      </c>
      <c r="K31" s="737"/>
    </row>
    <row r="32" spans="1:11" ht="12" customHeight="1" x14ac:dyDescent="0.2">
      <c r="A32" s="733" t="s">
        <v>2076</v>
      </c>
      <c r="B32" s="734">
        <v>39302</v>
      </c>
      <c r="C32" s="735">
        <v>5120000</v>
      </c>
      <c r="D32" s="736">
        <v>2</v>
      </c>
      <c r="E32" s="735">
        <v>4375000</v>
      </c>
      <c r="F32" s="735"/>
      <c r="G32" s="735">
        <v>-4375000</v>
      </c>
      <c r="H32" s="735"/>
      <c r="I32" s="1776">
        <f>((E32+F32)-H32)+G32</f>
        <v>0</v>
      </c>
      <c r="J32" s="735"/>
      <c r="K32" s="737"/>
    </row>
    <row r="33" spans="1:11" ht="12" customHeight="1" x14ac:dyDescent="0.2">
      <c r="A33" s="733" t="s">
        <v>2077</v>
      </c>
      <c r="B33" s="734">
        <v>40400</v>
      </c>
      <c r="C33" s="735">
        <v>4800000</v>
      </c>
      <c r="D33" s="736">
        <v>3</v>
      </c>
      <c r="E33" s="735">
        <v>4800000</v>
      </c>
      <c r="F33" s="735"/>
      <c r="G33" s="735">
        <v>-940000</v>
      </c>
      <c r="H33" s="735"/>
      <c r="I33" s="1776">
        <f t="shared" ref="I33:I48" si="1">((E33+F33)-H33)+G33</f>
        <v>3860000</v>
      </c>
      <c r="J33" s="735">
        <v>3860000</v>
      </c>
      <c r="K33" s="737"/>
    </row>
    <row r="34" spans="1:11" ht="12" customHeight="1" x14ac:dyDescent="0.2">
      <c r="A34" s="733" t="s">
        <v>2078</v>
      </c>
      <c r="B34" s="734">
        <v>41764</v>
      </c>
      <c r="C34" s="735">
        <v>4890000</v>
      </c>
      <c r="D34" s="736">
        <v>6</v>
      </c>
      <c r="E34" s="735">
        <v>4370000</v>
      </c>
      <c r="F34" s="735"/>
      <c r="G34" s="735"/>
      <c r="H34" s="735">
        <v>235000</v>
      </c>
      <c r="I34" s="1776">
        <f t="shared" si="1"/>
        <v>4135000</v>
      </c>
      <c r="J34" s="735">
        <v>4135000</v>
      </c>
      <c r="K34" s="738"/>
    </row>
    <row r="35" spans="1:11" ht="12" customHeight="1" x14ac:dyDescent="0.2">
      <c r="A35" s="733" t="s">
        <v>2079</v>
      </c>
      <c r="B35" s="734">
        <v>43221</v>
      </c>
      <c r="C35" s="739">
        <v>15285000</v>
      </c>
      <c r="D35" s="736">
        <v>6</v>
      </c>
      <c r="E35" s="739"/>
      <c r="F35" s="739">
        <v>15285000</v>
      </c>
      <c r="G35" s="739"/>
      <c r="H35" s="739"/>
      <c r="I35" s="1776">
        <f t="shared" si="1"/>
        <v>15285000</v>
      </c>
      <c r="J35" s="739">
        <v>15285000</v>
      </c>
      <c r="K35" s="738"/>
    </row>
    <row r="36" spans="1:11" ht="12" customHeight="1" x14ac:dyDescent="0.2">
      <c r="A36" s="733" t="s">
        <v>2080</v>
      </c>
      <c r="B36" s="734">
        <v>43221</v>
      </c>
      <c r="C36" s="735">
        <v>2525000</v>
      </c>
      <c r="D36" s="736">
        <v>6</v>
      </c>
      <c r="E36" s="735"/>
      <c r="F36" s="735">
        <v>2525000</v>
      </c>
      <c r="G36" s="735"/>
      <c r="H36" s="735"/>
      <c r="I36" s="1776">
        <f t="shared" si="1"/>
        <v>2525000</v>
      </c>
      <c r="J36" s="735">
        <v>2525000</v>
      </c>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52802581</v>
      </c>
      <c r="D49" s="746"/>
      <c r="E49" s="1776">
        <f t="shared" ref="E49:J49" si="2">SUM(E31:E48)</f>
        <v>18048434</v>
      </c>
      <c r="F49" s="1776">
        <f t="shared" si="2"/>
        <v>17810000</v>
      </c>
      <c r="G49" s="1776">
        <f t="shared" si="2"/>
        <v>-5969000</v>
      </c>
      <c r="H49" s="1776">
        <f t="shared" si="2"/>
        <v>1080431</v>
      </c>
      <c r="I49" s="1776">
        <f t="shared" si="2"/>
        <v>28809003</v>
      </c>
      <c r="J49" s="1776">
        <f t="shared" si="2"/>
        <v>26524193</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8" t="s">
        <v>605</v>
      </c>
      <c r="C52" s="2229"/>
      <c r="D52" s="2229"/>
      <c r="E52" s="750" t="s">
        <v>900</v>
      </c>
      <c r="F52" s="2230"/>
      <c r="G52" s="2231"/>
      <c r="H52" s="737"/>
      <c r="I52" s="737"/>
      <c r="J52" s="747"/>
    </row>
    <row r="53" spans="1:11" ht="11.25" customHeight="1" x14ac:dyDescent="0.2">
      <c r="A53" s="751" t="s">
        <v>969</v>
      </c>
      <c r="B53" s="752" t="s">
        <v>1008</v>
      </c>
      <c r="C53" s="747"/>
      <c r="D53" s="738"/>
      <c r="E53" s="750" t="s">
        <v>518</v>
      </c>
      <c r="F53" s="2232"/>
      <c r="G53" s="2233"/>
      <c r="H53" s="737"/>
      <c r="I53" s="737"/>
      <c r="J53" s="747"/>
    </row>
    <row r="54" spans="1:11" ht="11.25" customHeight="1" x14ac:dyDescent="0.2">
      <c r="A54" s="753" t="s">
        <v>970</v>
      </c>
      <c r="B54" s="748" t="s">
        <v>1009</v>
      </c>
      <c r="C54" s="747"/>
      <c r="D54" s="738"/>
      <c r="E54" s="750" t="s">
        <v>519</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F23" sqref="F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0"/>
      <c r="I1" s="761"/>
      <c r="J1" s="433"/>
    </row>
    <row r="2" spans="1:11" ht="26.25" x14ac:dyDescent="0.2">
      <c r="A2" s="2276" t="s">
        <v>1776</v>
      </c>
      <c r="B2" s="2277"/>
      <c r="C2" s="2277"/>
      <c r="D2" s="2277"/>
      <c r="E2" s="2278"/>
      <c r="F2" s="762" t="s">
        <v>960</v>
      </c>
      <c r="G2" s="763" t="s">
        <v>1773</v>
      </c>
      <c r="H2" s="763" t="s">
        <v>430</v>
      </c>
      <c r="I2" s="763" t="s">
        <v>1220</v>
      </c>
      <c r="J2" s="763" t="s">
        <v>1917</v>
      </c>
      <c r="K2" s="763" t="s">
        <v>140</v>
      </c>
    </row>
    <row r="3" spans="1:11" x14ac:dyDescent="0.2">
      <c r="A3" s="2279" t="s">
        <v>1698</v>
      </c>
      <c r="B3" s="2280"/>
      <c r="C3" s="2280"/>
      <c r="D3" s="2280"/>
      <c r="E3" s="2281"/>
      <c r="F3" s="764"/>
      <c r="G3" s="765"/>
      <c r="H3" s="765"/>
      <c r="I3" s="765"/>
      <c r="J3" s="766"/>
      <c r="K3" s="766"/>
    </row>
    <row r="4" spans="1:11" x14ac:dyDescent="0.2">
      <c r="A4" s="2282" t="s">
        <v>387</v>
      </c>
      <c r="B4" s="2283"/>
      <c r="C4" s="2283"/>
      <c r="D4" s="2283"/>
      <c r="E4" s="2229"/>
      <c r="F4" s="767"/>
      <c r="G4" s="768"/>
      <c r="H4" s="769"/>
      <c r="I4" s="768"/>
      <c r="J4" s="770"/>
      <c r="K4" s="770"/>
    </row>
    <row r="5" spans="1:11" x14ac:dyDescent="0.2">
      <c r="A5" s="2260" t="s">
        <v>1129</v>
      </c>
      <c r="B5" s="2261"/>
      <c r="C5" s="2261"/>
      <c r="D5" s="2261"/>
      <c r="E5" s="2262"/>
      <c r="F5" s="771" t="s">
        <v>903</v>
      </c>
      <c r="G5" s="772"/>
      <c r="H5" s="765">
        <f>'Revenues 9-14'!C7</f>
        <v>2074724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f>'Revenues 9-14'!C101</f>
        <v>14950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f>'Revenues 9-14'!C147</f>
        <v>38759</v>
      </c>
    </row>
    <row r="10" spans="1:11" x14ac:dyDescent="0.2">
      <c r="A10" s="2260" t="s">
        <v>1918</v>
      </c>
      <c r="B10" s="2261"/>
      <c r="C10" s="2261"/>
      <c r="D10" s="2261"/>
      <c r="E10" s="2263"/>
      <c r="F10" s="784" t="s">
        <v>917</v>
      </c>
      <c r="G10" s="783"/>
      <c r="H10" s="785"/>
      <c r="I10" s="765"/>
      <c r="J10" s="766"/>
      <c r="K10" s="766"/>
    </row>
    <row r="11" spans="1:11" x14ac:dyDescent="0.2">
      <c r="A11" s="2260" t="s">
        <v>162</v>
      </c>
      <c r="B11" s="2261"/>
      <c r="C11" s="2261"/>
      <c r="D11" s="2261"/>
      <c r="E11" s="2262"/>
      <c r="F11" s="771" t="s">
        <v>907</v>
      </c>
      <c r="G11" s="772"/>
      <c r="H11" s="765"/>
      <c r="I11" s="765"/>
      <c r="J11" s="766"/>
      <c r="K11" s="774"/>
    </row>
    <row r="12" spans="1:11" ht="13.5" thickBot="1" x14ac:dyDescent="0.25">
      <c r="A12" s="2287" t="s">
        <v>961</v>
      </c>
      <c r="B12" s="2288"/>
      <c r="C12" s="2288"/>
      <c r="D12" s="2288"/>
      <c r="E12" s="2289"/>
      <c r="F12" s="1777"/>
      <c r="G12" s="1778">
        <f>SUM(G5:G11)</f>
        <v>0</v>
      </c>
      <c r="H12" s="1778">
        <f>SUM(H5:H11)</f>
        <v>2074724</v>
      </c>
      <c r="I12" s="1778">
        <f>SUM(I5:I11)</f>
        <v>0</v>
      </c>
      <c r="J12" s="1778">
        <f>SUM(J5:J11)</f>
        <v>0</v>
      </c>
      <c r="K12" s="1778">
        <f>SUM(K5:K11)</f>
        <v>53709</v>
      </c>
    </row>
    <row r="13" spans="1:11" ht="13.5" thickTop="1" x14ac:dyDescent="0.2">
      <c r="A13" s="2284" t="s">
        <v>388</v>
      </c>
      <c r="B13" s="2285"/>
      <c r="C13" s="2285"/>
      <c r="D13" s="2285"/>
      <c r="E13" s="2286"/>
      <c r="F13" s="786"/>
      <c r="G13" s="787"/>
      <c r="H13" s="788"/>
      <c r="I13" s="789"/>
      <c r="J13" s="789"/>
      <c r="K13" s="789"/>
    </row>
    <row r="14" spans="1:11" x14ac:dyDescent="0.2">
      <c r="A14" s="2267" t="s">
        <v>476</v>
      </c>
      <c r="B14" s="2267"/>
      <c r="C14" s="2267"/>
      <c r="D14" s="2267"/>
      <c r="E14" s="2268"/>
      <c r="F14" s="790" t="s">
        <v>909</v>
      </c>
      <c r="G14" s="783"/>
      <c r="H14" s="765">
        <f>H5</f>
        <v>2074724</v>
      </c>
      <c r="I14" s="772"/>
      <c r="J14" s="774"/>
      <c r="K14" s="766">
        <f>K12</f>
        <v>53709</v>
      </c>
    </row>
    <row r="15" spans="1:11" x14ac:dyDescent="0.2">
      <c r="A15" s="2261" t="s">
        <v>4</v>
      </c>
      <c r="B15" s="2261"/>
      <c r="C15" s="2261"/>
      <c r="D15" s="2261"/>
      <c r="E15" s="2262"/>
      <c r="F15" s="790" t="s">
        <v>910</v>
      </c>
      <c r="G15" s="772"/>
      <c r="H15" s="765"/>
      <c r="I15" s="765"/>
      <c r="J15" s="766"/>
      <c r="K15" s="766"/>
    </row>
    <row r="16" spans="1:11" x14ac:dyDescent="0.2">
      <c r="A16" s="2261" t="s">
        <v>316</v>
      </c>
      <c r="B16" s="2261"/>
      <c r="C16" s="2261"/>
      <c r="D16" s="2261"/>
      <c r="E16" s="2262"/>
      <c r="F16" s="790" t="s">
        <v>980</v>
      </c>
      <c r="G16" s="773"/>
      <c r="H16" s="768"/>
      <c r="I16" s="768"/>
      <c r="J16" s="770"/>
      <c r="K16" s="770"/>
    </row>
    <row r="17" spans="1:11" x14ac:dyDescent="0.2">
      <c r="A17" s="2292" t="s">
        <v>992</v>
      </c>
      <c r="B17" s="2292"/>
      <c r="C17" s="2292"/>
      <c r="D17" s="2292"/>
      <c r="E17" s="2293"/>
      <c r="F17" s="791"/>
      <c r="G17" s="792"/>
      <c r="H17" s="793"/>
      <c r="I17" s="793"/>
      <c r="J17" s="794"/>
      <c r="K17" s="795"/>
    </row>
    <row r="18" spans="1:11" x14ac:dyDescent="0.2">
      <c r="A18" s="2271" t="s">
        <v>386</v>
      </c>
      <c r="B18" s="2272"/>
      <c r="C18" s="2272"/>
      <c r="D18" s="2272"/>
      <c r="E18" s="2273"/>
      <c r="F18" s="790" t="s">
        <v>989</v>
      </c>
      <c r="G18" s="783"/>
      <c r="H18" s="783"/>
      <c r="I18" s="783"/>
      <c r="J18" s="766"/>
      <c r="K18" s="796"/>
    </row>
    <row r="19" spans="1:11" ht="21.75" customHeight="1" x14ac:dyDescent="0.2">
      <c r="A19" s="2269" t="s">
        <v>1914</v>
      </c>
      <c r="B19" s="2269"/>
      <c r="C19" s="2269"/>
      <c r="D19" s="2269"/>
      <c r="E19" s="2270"/>
      <c r="F19" s="790" t="s">
        <v>990</v>
      </c>
      <c r="G19" s="783"/>
      <c r="H19" s="783"/>
      <c r="I19" s="783"/>
      <c r="J19" s="766"/>
      <c r="K19" s="796"/>
    </row>
    <row r="20" spans="1:11" x14ac:dyDescent="0.2">
      <c r="A20" s="2271" t="s">
        <v>1919</v>
      </c>
      <c r="B20" s="2272"/>
      <c r="C20" s="2272"/>
      <c r="D20" s="2272"/>
      <c r="E20" s="2273"/>
      <c r="F20" s="790" t="s">
        <v>991</v>
      </c>
      <c r="G20" s="783"/>
      <c r="H20" s="783"/>
      <c r="I20" s="783"/>
      <c r="J20" s="766"/>
      <c r="K20" s="796"/>
    </row>
    <row r="21" spans="1:11" ht="13.5" thickBot="1" x14ac:dyDescent="0.25">
      <c r="A21" s="2290" t="s">
        <v>659</v>
      </c>
      <c r="B21" s="2290"/>
      <c r="C21" s="2290"/>
      <c r="D21" s="2290"/>
      <c r="E21" s="2290"/>
      <c r="F21" s="1779"/>
      <c r="G21" s="793"/>
      <c r="H21" s="797"/>
      <c r="I21" s="797"/>
      <c r="J21" s="1780">
        <f>SUM(J18:J20)</f>
        <v>0</v>
      </c>
      <c r="K21" s="794"/>
    </row>
    <row r="22" spans="1:11" ht="13.5" thickTop="1" x14ac:dyDescent="0.2">
      <c r="A22" s="2261" t="s">
        <v>1920</v>
      </c>
      <c r="B22" s="2261"/>
      <c r="C22" s="2261"/>
      <c r="D22" s="2261"/>
      <c r="E22" s="2262"/>
      <c r="F22" s="790" t="s">
        <v>917</v>
      </c>
      <c r="G22" s="783"/>
      <c r="H22" s="765"/>
      <c r="I22" s="765"/>
      <c r="J22" s="798"/>
      <c r="K22" s="766"/>
    </row>
    <row r="23" spans="1:11" ht="13.5" thickBot="1" x14ac:dyDescent="0.25">
      <c r="A23" s="2291" t="s">
        <v>962</v>
      </c>
      <c r="B23" s="2290"/>
      <c r="C23" s="2290"/>
      <c r="D23" s="2290"/>
      <c r="E23" s="2290"/>
      <c r="F23" s="1781"/>
      <c r="G23" s="1778">
        <f>SUM(G14:G16,G21,G22)</f>
        <v>0</v>
      </c>
      <c r="H23" s="1778">
        <f>SUM(H14:H16,H21,H22)</f>
        <v>2074724</v>
      </c>
      <c r="I23" s="1778">
        <f>SUM(I14:I16,I21,I22)</f>
        <v>0</v>
      </c>
      <c r="J23" s="1778">
        <f>SUM(J14:J16,J21,J22)</f>
        <v>0</v>
      </c>
      <c r="K23" s="1778">
        <f>SUM(K14:K16,K21,K22)</f>
        <v>53709</v>
      </c>
    </row>
    <row r="24" spans="1:11" ht="14.25" thickTop="1" thickBot="1" x14ac:dyDescent="0.25">
      <c r="A24" s="2291" t="s">
        <v>2024</v>
      </c>
      <c r="B24" s="2290"/>
      <c r="C24" s="2290"/>
      <c r="D24" s="2290"/>
      <c r="E24" s="2290"/>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1" t="s">
        <v>562</v>
      </c>
      <c r="B41" s="2274"/>
      <c r="C41" s="2274"/>
      <c r="D41" s="2274"/>
      <c r="E41" s="2274"/>
      <c r="F41" s="227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1" t="s">
        <v>1915</v>
      </c>
      <c r="B46" s="408" t="s">
        <v>1774</v>
      </c>
    </row>
    <row r="47" spans="1:11" s="824" customFormat="1" ht="12.75" customHeight="1" x14ac:dyDescent="0.2">
      <c r="A47" s="822"/>
      <c r="B47" s="823" t="s">
        <v>1775</v>
      </c>
      <c r="E47" s="823"/>
      <c r="K47" s="825"/>
    </row>
    <row r="48" spans="1:11" ht="12.75" customHeight="1" x14ac:dyDescent="0.2">
      <c r="A48" s="1552"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E13" sqref="E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6" t="s">
        <v>2033</v>
      </c>
      <c r="B1" s="2297"/>
      <c r="C1" s="2298"/>
      <c r="D1" s="827"/>
      <c r="E1" s="828"/>
      <c r="F1" s="828"/>
      <c r="G1" s="829"/>
      <c r="H1" s="830"/>
      <c r="I1" s="831"/>
      <c r="J1" s="2294"/>
      <c r="K1" s="2295"/>
      <c r="L1" s="2295"/>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49" t="s">
        <v>948</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949</v>
      </c>
      <c r="B5" s="841">
        <v>221</v>
      </c>
      <c r="C5" s="842">
        <v>822541</v>
      </c>
      <c r="D5" s="842"/>
      <c r="E5" s="842"/>
      <c r="F5" s="1780">
        <f>(C5+D5)-E5</f>
        <v>822541</v>
      </c>
      <c r="G5" s="838"/>
      <c r="H5" s="843"/>
      <c r="I5" s="843"/>
      <c r="J5" s="843"/>
      <c r="K5" s="794"/>
      <c r="L5" s="1789">
        <f>F5-K5</f>
        <v>822541</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1180</v>
      </c>
      <c r="B8" s="841">
        <v>231</v>
      </c>
      <c r="C8" s="845">
        <v>47057537</v>
      </c>
      <c r="D8" s="845"/>
      <c r="E8" s="845"/>
      <c r="F8" s="1780">
        <f>(C8+D8)-E8</f>
        <v>47057537</v>
      </c>
      <c r="G8" s="844">
        <v>50</v>
      </c>
      <c r="H8" s="766">
        <v>39756293</v>
      </c>
      <c r="I8" s="766">
        <v>855908</v>
      </c>
      <c r="J8" s="766"/>
      <c r="K8" s="1789">
        <f>(H8+I8)-J8</f>
        <v>40612201</v>
      </c>
      <c r="L8" s="1789">
        <f>F8-K8</f>
        <v>6445336</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2131047</v>
      </c>
      <c r="D10" s="847"/>
      <c r="E10" s="847"/>
      <c r="F10" s="1784">
        <f>(C10+D10)-E10</f>
        <v>2131047</v>
      </c>
      <c r="G10" s="844">
        <v>20</v>
      </c>
      <c r="H10" s="848">
        <v>983007</v>
      </c>
      <c r="I10" s="848">
        <v>106552</v>
      </c>
      <c r="J10" s="848"/>
      <c r="K10" s="1789">
        <f>(H10+I10)-J10</f>
        <v>1089559</v>
      </c>
      <c r="L10" s="1789">
        <f>F10-K10</f>
        <v>1041488</v>
      </c>
    </row>
    <row r="11" spans="1:14" ht="13.5" thickTop="1" x14ac:dyDescent="0.2">
      <c r="A11" s="1652" t="s">
        <v>1198</v>
      </c>
      <c r="B11" s="1650">
        <v>250</v>
      </c>
      <c r="C11" s="782"/>
      <c r="D11" s="782"/>
      <c r="E11" s="782"/>
      <c r="F11" s="774"/>
      <c r="G11" s="844"/>
      <c r="H11" s="782"/>
      <c r="I11" s="782"/>
      <c r="J11" s="782"/>
      <c r="K11" s="774"/>
      <c r="L11" s="774"/>
    </row>
    <row r="12" spans="1:14" ht="13.5" thickBot="1" x14ac:dyDescent="0.25">
      <c r="A12" s="849" t="s">
        <v>1183</v>
      </c>
      <c r="B12" s="841">
        <v>251</v>
      </c>
      <c r="C12" s="845">
        <v>2251330</v>
      </c>
      <c r="D12" s="845">
        <v>188112</v>
      </c>
      <c r="E12" s="845"/>
      <c r="F12" s="1780">
        <f>(C12+D12)-E12</f>
        <v>2439442</v>
      </c>
      <c r="G12" s="844">
        <v>10</v>
      </c>
      <c r="H12" s="766">
        <v>1495504</v>
      </c>
      <c r="I12" s="766">
        <v>202103</v>
      </c>
      <c r="J12" s="766"/>
      <c r="K12" s="1789">
        <f>(H12+I12)-J12</f>
        <v>1697607</v>
      </c>
      <c r="L12" s="1789">
        <f>F12-K12</f>
        <v>741835</v>
      </c>
    </row>
    <row r="13" spans="1:14" ht="14.25" thickTop="1" thickBot="1" x14ac:dyDescent="0.25">
      <c r="A13" s="849" t="s">
        <v>1184</v>
      </c>
      <c r="B13" s="841">
        <v>252</v>
      </c>
      <c r="C13" s="845">
        <v>2057350</v>
      </c>
      <c r="D13" s="845">
        <v>508864</v>
      </c>
      <c r="E13" s="845">
        <v>277445</v>
      </c>
      <c r="F13" s="1780">
        <f>(C13+D13)-E13</f>
        <v>2288769</v>
      </c>
      <c r="G13" s="844">
        <v>5</v>
      </c>
      <c r="H13" s="766">
        <v>1235517</v>
      </c>
      <c r="I13" s="766">
        <v>319264</v>
      </c>
      <c r="J13" s="766">
        <v>277445</v>
      </c>
      <c r="K13" s="1789">
        <f>(H13+I13)-J13</f>
        <v>1277336</v>
      </c>
      <c r="L13" s="1789">
        <f>F13-K13</f>
        <v>1011433</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1" t="s">
        <v>549</v>
      </c>
      <c r="B15" s="1650">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54319805</v>
      </c>
      <c r="D16" s="1780">
        <f>SUM(D3,D5:D6,D8:D10,D12:D15)</f>
        <v>696976</v>
      </c>
      <c r="E16" s="1780">
        <f>SUM(E3,E5:E6,E8:E10,E12:E15)</f>
        <v>277445</v>
      </c>
      <c r="F16" s="1780">
        <f>SUM(F3,F5:F6,F8:F10,F12:F15)</f>
        <v>54739336</v>
      </c>
      <c r="G16" s="844"/>
      <c r="H16" s="1780">
        <f>SUM(H3,H6,H8:H10,H12:H14,)</f>
        <v>43470321</v>
      </c>
      <c r="I16" s="1780">
        <f>SUM(I3,I6,I8:I10,I12:I14,)</f>
        <v>1483827</v>
      </c>
      <c r="J16" s="1780">
        <f>SUM(J3,J6,J8:J10,J12:J14,)</f>
        <v>277445</v>
      </c>
      <c r="K16" s="1780">
        <f>(H16+I16)-J16</f>
        <v>44676703</v>
      </c>
      <c r="L16" s="1780">
        <f>F16-K16</f>
        <v>10062633</v>
      </c>
    </row>
    <row r="17" spans="1:12" ht="15" customHeight="1" thickTop="1" thickBot="1" x14ac:dyDescent="0.25">
      <c r="A17" s="1653" t="s">
        <v>309</v>
      </c>
      <c r="B17" s="1650">
        <v>700</v>
      </c>
      <c r="C17" s="770"/>
      <c r="D17" s="770"/>
      <c r="E17" s="770"/>
      <c r="F17" s="1780">
        <f>SUM('Expenditures 15-22'!I114,'Expenditures 15-22'!I151,'Expenditures 15-22'!I210,'Expenditures 15-22'!I312,'Expenditures 15-22'!I342,'Expenditures 15-22'!I367)</f>
        <v>385076</v>
      </c>
      <c r="G17" s="838">
        <v>10</v>
      </c>
      <c r="H17" s="770"/>
      <c r="I17" s="1789">
        <f>F17/G17</f>
        <v>38507.599999999999</v>
      </c>
      <c r="J17" s="770"/>
      <c r="K17" s="796"/>
      <c r="L17" s="796"/>
    </row>
    <row r="18" spans="1:12" ht="14.25" thickTop="1" thickBot="1" x14ac:dyDescent="0.25">
      <c r="A18" s="1787" t="s">
        <v>706</v>
      </c>
      <c r="B18" s="1788"/>
      <c r="C18" s="772"/>
      <c r="D18" s="772"/>
      <c r="E18" s="772"/>
      <c r="F18" s="851"/>
      <c r="G18" s="852"/>
      <c r="H18" s="774"/>
      <c r="I18" s="1780">
        <f>SUM(I16,I17)</f>
        <v>1522334.6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6"/>
  <sheetViews>
    <sheetView showGridLines="0" defaultGridColor="0" colorId="8" zoomScale="110" zoomScaleNormal="110" workbookViewId="0">
      <pane ySplit="5" topLeftCell="A6"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2" t="s">
        <v>1699</v>
      </c>
      <c r="B1" s="2303"/>
      <c r="C1" s="2303"/>
      <c r="D1" s="2303"/>
      <c r="E1" s="2303"/>
      <c r="F1" s="2304"/>
      <c r="G1" s="856"/>
    </row>
    <row r="2" spans="1:7" ht="15" customHeight="1" thickBot="1" x14ac:dyDescent="0.25">
      <c r="A2" s="2305" t="s">
        <v>498</v>
      </c>
      <c r="B2" s="2306"/>
      <c r="C2" s="2306"/>
      <c r="D2" s="2306"/>
      <c r="E2" s="2306"/>
      <c r="F2" s="2307"/>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8"/>
      <c r="B5" s="2309"/>
      <c r="C5" s="2309"/>
      <c r="D5" s="2309"/>
      <c r="E5" s="2309"/>
      <c r="F5" s="2309"/>
    </row>
    <row r="6" spans="1:7" ht="13.5" customHeight="1" thickBot="1" x14ac:dyDescent="0.25">
      <c r="A6" s="2299" t="s">
        <v>1166</v>
      </c>
      <c r="B6" s="2300"/>
      <c r="C6" s="2300"/>
      <c r="D6" s="2300"/>
      <c r="E6" s="2300"/>
      <c r="F6" s="2301"/>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40322330</v>
      </c>
      <c r="G8" s="866"/>
    </row>
    <row r="9" spans="1:7" x14ac:dyDescent="0.2">
      <c r="A9" s="870" t="s">
        <v>480</v>
      </c>
      <c r="B9" s="871" t="s">
        <v>1987</v>
      </c>
      <c r="C9" s="872"/>
      <c r="D9" s="870" t="s">
        <v>522</v>
      </c>
      <c r="E9" s="869"/>
      <c r="F9" s="1933">
        <f>'Expenditures 15-22'!K151</f>
        <v>4076013</v>
      </c>
      <c r="G9" s="873"/>
    </row>
    <row r="10" spans="1:7" x14ac:dyDescent="0.2">
      <c r="A10" s="870" t="s">
        <v>520</v>
      </c>
      <c r="B10" s="871" t="s">
        <v>1988</v>
      </c>
      <c r="C10" s="872"/>
      <c r="D10" s="870" t="s">
        <v>522</v>
      </c>
      <c r="E10" s="869"/>
      <c r="F10" s="1933">
        <f>'Expenditures 15-22'!K174</f>
        <v>2871771</v>
      </c>
      <c r="G10" s="873"/>
    </row>
    <row r="11" spans="1:7" x14ac:dyDescent="0.2">
      <c r="A11" s="870" t="s">
        <v>481</v>
      </c>
      <c r="B11" s="871" t="s">
        <v>1989</v>
      </c>
      <c r="C11" s="872"/>
      <c r="D11" s="870" t="s">
        <v>522</v>
      </c>
      <c r="E11" s="869"/>
      <c r="F11" s="1933">
        <f>'Expenditures 15-22'!K210</f>
        <v>3295895</v>
      </c>
      <c r="G11" s="873"/>
    </row>
    <row r="12" spans="1:7" x14ac:dyDescent="0.2">
      <c r="A12" s="870" t="s">
        <v>482</v>
      </c>
      <c r="B12" s="871" t="s">
        <v>1990</v>
      </c>
      <c r="C12" s="872"/>
      <c r="D12" s="870" t="s">
        <v>522</v>
      </c>
      <c r="E12" s="869"/>
      <c r="F12" s="1933">
        <f>'Expenditures 15-22'!K295</f>
        <v>1461748</v>
      </c>
      <c r="G12" s="873"/>
    </row>
    <row r="13" spans="1:7" x14ac:dyDescent="0.2">
      <c r="A13" s="870" t="s">
        <v>108</v>
      </c>
      <c r="B13" s="871" t="s">
        <v>1991</v>
      </c>
      <c r="C13" s="872"/>
      <c r="D13" s="870" t="s">
        <v>522</v>
      </c>
      <c r="E13" s="869"/>
      <c r="F13" s="1933">
        <f>'Expenditures 15-22'!K342</f>
        <v>572261</v>
      </c>
      <c r="G13" s="874"/>
    </row>
    <row r="14" spans="1:7" ht="12" customHeight="1" thickBot="1" x14ac:dyDescent="0.25">
      <c r="A14" s="1790"/>
      <c r="B14" s="1791"/>
      <c r="C14" s="1792"/>
      <c r="D14" s="1793" t="s">
        <v>522</v>
      </c>
      <c r="E14" s="1794" t="s">
        <v>1015</v>
      </c>
      <c r="F14" s="1795">
        <f>SUM(F8:F13)</f>
        <v>52600018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476782</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612808</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26203</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218262</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864772</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2730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132879</v>
      </c>
      <c r="G52" s="866"/>
    </row>
    <row r="53" spans="1:7" x14ac:dyDescent="0.2">
      <c r="A53" s="870" t="s">
        <v>479</v>
      </c>
      <c r="B53" s="870" t="s">
        <v>1551</v>
      </c>
      <c r="C53" s="890">
        <f>'Expenditures 15-22'!B102</f>
        <v>4000</v>
      </c>
      <c r="D53" s="889" t="str">
        <f>'Expenditures 15-22'!A102</f>
        <v>Total Payments to Other Govt Units</v>
      </c>
      <c r="E53" s="869"/>
      <c r="F53" s="1937">
        <f>'Expenditures 15-22'!K102</f>
        <v>677235</v>
      </c>
      <c r="G53" s="866"/>
    </row>
    <row r="54" spans="1:7" x14ac:dyDescent="0.2">
      <c r="A54" s="870" t="s">
        <v>479</v>
      </c>
      <c r="B54" s="870" t="s">
        <v>1552</v>
      </c>
      <c r="C54" s="890" t="s">
        <v>1039</v>
      </c>
      <c r="D54" s="886" t="s">
        <v>1157</v>
      </c>
      <c r="E54" s="869"/>
      <c r="F54" s="1937">
        <f>'Expenditures 15-22'!G114</f>
        <v>281021</v>
      </c>
      <c r="G54" s="866"/>
    </row>
    <row r="55" spans="1:7" x14ac:dyDescent="0.2">
      <c r="A55" s="870" t="s">
        <v>479</v>
      </c>
      <c r="B55" s="870" t="s">
        <v>1553</v>
      </c>
      <c r="C55" s="890" t="s">
        <v>1039</v>
      </c>
      <c r="D55" s="886" t="s">
        <v>309</v>
      </c>
      <c r="E55" s="869"/>
      <c r="F55" s="1937">
        <f>'Expenditures 15-22'!I114</f>
        <v>380077</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1992</v>
      </c>
      <c r="C57" s="890">
        <f>'Expenditures 15-22'!B139</f>
        <v>4000</v>
      </c>
      <c r="D57" s="888" t="str">
        <f>'Expenditures 15-22'!A139</f>
        <v>Total Payments to Other Govt Units</v>
      </c>
      <c r="E57" s="869"/>
      <c r="F57" s="1937">
        <f>'Expenditures 15-22'!K139</f>
        <v>0</v>
      </c>
      <c r="G57" s="866"/>
    </row>
    <row r="58" spans="1:7" x14ac:dyDescent="0.2">
      <c r="A58" s="870" t="s">
        <v>480</v>
      </c>
      <c r="B58" s="870" t="s">
        <v>1993</v>
      </c>
      <c r="C58" s="887" t="s">
        <v>1039</v>
      </c>
      <c r="D58" s="886" t="s">
        <v>1157</v>
      </c>
      <c r="E58" s="869"/>
      <c r="F58" s="1939">
        <f>'Expenditures 15-22'!G151</f>
        <v>102987</v>
      </c>
      <c r="G58" s="866"/>
    </row>
    <row r="59" spans="1:7" x14ac:dyDescent="0.2">
      <c r="A59" s="894" t="s">
        <v>480</v>
      </c>
      <c r="B59" s="857" t="s">
        <v>1994</v>
      </c>
      <c r="C59" s="895" t="s">
        <v>1039</v>
      </c>
      <c r="D59" s="857" t="s">
        <v>309</v>
      </c>
      <c r="F59" s="1940">
        <f>'Expenditures 15-22'!I151</f>
        <v>4999</v>
      </c>
      <c r="G59" s="866"/>
    </row>
    <row r="60" spans="1:7" x14ac:dyDescent="0.2">
      <c r="A60" s="894" t="s">
        <v>520</v>
      </c>
      <c r="B60" s="857" t="s">
        <v>1995</v>
      </c>
      <c r="C60" s="895">
        <v>4000</v>
      </c>
      <c r="D60" s="857" t="s">
        <v>330</v>
      </c>
      <c r="F60" s="1938">
        <f>'Expenditures 15-22'!K160</f>
        <v>0</v>
      </c>
      <c r="G60" s="866"/>
    </row>
    <row r="61" spans="1:7" x14ac:dyDescent="0.2">
      <c r="A61" s="896" t="s">
        <v>520</v>
      </c>
      <c r="B61" s="896" t="s">
        <v>1996</v>
      </c>
      <c r="C61" s="897" t="str">
        <f>'Expenditures 15-22'!B170</f>
        <v>5300</v>
      </c>
      <c r="D61" s="898" t="s">
        <v>329</v>
      </c>
      <c r="E61" s="880"/>
      <c r="F61" s="1937">
        <f>'Expenditures 15-22'!K170</f>
        <v>1080431</v>
      </c>
      <c r="G61" s="866"/>
    </row>
    <row r="62" spans="1:7" x14ac:dyDescent="0.2">
      <c r="A62" s="870" t="s">
        <v>481</v>
      </c>
      <c r="B62" s="870" t="s">
        <v>1997</v>
      </c>
      <c r="C62" s="887">
        <f>'Expenditures 15-22'!B185</f>
        <v>3000</v>
      </c>
      <c r="D62" s="877" t="s">
        <v>469</v>
      </c>
      <c r="E62" s="869"/>
      <c r="F62" s="1937">
        <f>'Expenditures 15-22'!K185-SUM('Expenditures 15-22'!G185,'Expenditures 15-22'!I185)</f>
        <v>0</v>
      </c>
      <c r="G62" s="866"/>
    </row>
    <row r="63" spans="1:7" x14ac:dyDescent="0.2">
      <c r="A63" s="870" t="s">
        <v>481</v>
      </c>
      <c r="B63" s="870" t="s">
        <v>1998</v>
      </c>
      <c r="C63" s="887" t="str">
        <f>'Expenditures 15-22'!B196</f>
        <v>4000</v>
      </c>
      <c r="D63" s="888" t="str">
        <f>'Expenditures 15-22'!A196</f>
        <v>Total Payments to Other Govt Units</v>
      </c>
      <c r="E63" s="869"/>
      <c r="F63" s="1937">
        <f>'Expenditures 15-22'!K196</f>
        <v>0</v>
      </c>
      <c r="G63" s="866"/>
    </row>
    <row r="64" spans="1:7" x14ac:dyDescent="0.2">
      <c r="A64" s="896" t="s">
        <v>481</v>
      </c>
      <c r="B64" s="896" t="s">
        <v>1999</v>
      </c>
      <c r="C64" s="897" t="str">
        <f>'Expenditures 15-22'!B206</f>
        <v>5300</v>
      </c>
      <c r="D64" s="893" t="s">
        <v>329</v>
      </c>
      <c r="E64" s="869"/>
      <c r="F64" s="1937">
        <f>'Expenditures 15-22'!K206</f>
        <v>0</v>
      </c>
      <c r="G64" s="866"/>
    </row>
    <row r="65" spans="1:8" x14ac:dyDescent="0.2">
      <c r="A65" s="870" t="s">
        <v>481</v>
      </c>
      <c r="B65" s="870" t="s">
        <v>2000</v>
      </c>
      <c r="C65" s="887" t="s">
        <v>1039</v>
      </c>
      <c r="D65" s="886" t="s">
        <v>1157</v>
      </c>
      <c r="E65" s="869"/>
      <c r="F65" s="1937">
        <f>'Expenditures 15-22'!G210</f>
        <v>866972</v>
      </c>
      <c r="G65" s="866"/>
    </row>
    <row r="66" spans="1:8" x14ac:dyDescent="0.2">
      <c r="A66" s="870" t="s">
        <v>481</v>
      </c>
      <c r="B66" s="870" t="s">
        <v>2001</v>
      </c>
      <c r="C66" s="887" t="s">
        <v>1039</v>
      </c>
      <c r="D66" s="886" t="s">
        <v>309</v>
      </c>
      <c r="E66" s="869"/>
      <c r="F66" s="1937">
        <f>'Expenditures 15-22'!I210</f>
        <v>0</v>
      </c>
      <c r="G66" s="866"/>
    </row>
    <row r="67" spans="1:8" x14ac:dyDescent="0.2">
      <c r="A67" s="870" t="s">
        <v>482</v>
      </c>
      <c r="B67" s="870" t="s">
        <v>2002</v>
      </c>
      <c r="C67" s="887" t="str">
        <f>'Expenditures 15-22'!B216</f>
        <v>1125</v>
      </c>
      <c r="D67" s="893" t="str">
        <f>'Expenditures 15-22'!A216</f>
        <v>Pre-K Programs</v>
      </c>
      <c r="E67" s="869"/>
      <c r="F67" s="1937">
        <f>'Expenditures 15-22'!K216</f>
        <v>14124</v>
      </c>
      <c r="G67" s="866"/>
    </row>
    <row r="68" spans="1:8" x14ac:dyDescent="0.2">
      <c r="A68" s="870" t="s">
        <v>482</v>
      </c>
      <c r="B68" s="870" t="s">
        <v>1555</v>
      </c>
      <c r="C68" s="887" t="str">
        <f>'Expenditures 15-22'!B218</f>
        <v>1225</v>
      </c>
      <c r="D68" s="893" t="str">
        <f>'Expenditures 15-22'!A218</f>
        <v>Special Education Programs - Pre-K</v>
      </c>
      <c r="E68" s="869"/>
      <c r="F68" s="1937">
        <f>'Expenditures 15-22'!K218</f>
        <v>3728</v>
      </c>
      <c r="G68" s="866"/>
    </row>
    <row r="69" spans="1:8" x14ac:dyDescent="0.2">
      <c r="A69" s="870" t="s">
        <v>482</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2004</v>
      </c>
      <c r="C70" s="887">
        <f>'Expenditures 15-22'!B221</f>
        <v>1300</v>
      </c>
      <c r="D70" s="888" t="str">
        <f>'Expenditures 15-22'!A221</f>
        <v>Adult/Continuing Education Programs</v>
      </c>
      <c r="E70" s="869"/>
      <c r="F70" s="1937">
        <f>'Expenditures 15-22'!K221</f>
        <v>0</v>
      </c>
      <c r="G70" s="866"/>
    </row>
    <row r="71" spans="1:8" x14ac:dyDescent="0.2">
      <c r="A71" s="870" t="s">
        <v>482</v>
      </c>
      <c r="B71" s="870" t="s">
        <v>2005</v>
      </c>
      <c r="C71" s="887">
        <f>'Expenditures 15-22'!B224</f>
        <v>1600</v>
      </c>
      <c r="D71" s="888" t="str">
        <f>'Expenditures 15-22'!A224</f>
        <v>Summer School Programs</v>
      </c>
      <c r="E71" s="869"/>
      <c r="F71" s="1937">
        <f>'Expenditures 15-22'!K224</f>
        <v>2977</v>
      </c>
      <c r="G71" s="866"/>
    </row>
    <row r="72" spans="1:8" x14ac:dyDescent="0.2">
      <c r="A72" s="870" t="s">
        <v>482</v>
      </c>
      <c r="B72" s="870" t="s">
        <v>2006</v>
      </c>
      <c r="C72" s="887">
        <f>'Expenditures 15-22'!B280</f>
        <v>3000</v>
      </c>
      <c r="D72" s="877" t="s">
        <v>469</v>
      </c>
      <c r="E72" s="869"/>
      <c r="F72" s="1937">
        <f>'Expenditures 15-22'!K280</f>
        <v>981</v>
      </c>
      <c r="G72" s="866"/>
    </row>
    <row r="73" spans="1:8" x14ac:dyDescent="0.2">
      <c r="A73" s="870" t="s">
        <v>482</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456</v>
      </c>
      <c r="B74" s="870" t="s">
        <v>2008</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1015</v>
      </c>
      <c r="F76" s="1798">
        <f>SUM(F18:F74)</f>
        <v>5749968</v>
      </c>
      <c r="G76" s="866"/>
    </row>
    <row r="77" spans="1:8" s="894" customFormat="1" ht="12" customHeight="1" thickTop="1" thickBot="1" x14ac:dyDescent="0.25">
      <c r="A77" s="1799"/>
      <c r="B77" s="1796"/>
      <c r="C77" s="1792"/>
      <c r="D77" s="1797" t="s">
        <v>2010</v>
      </c>
      <c r="E77" s="1794"/>
      <c r="F77" s="1800">
        <f>(F14-F76)</f>
        <v>46850050</v>
      </c>
      <c r="G77" s="870"/>
    </row>
    <row r="78" spans="1:8" s="894" customFormat="1" ht="12" customHeight="1" thickTop="1" x14ac:dyDescent="0.2">
      <c r="A78" s="1801"/>
      <c r="B78" s="1796"/>
      <c r="C78" s="1792"/>
      <c r="D78" s="1797" t="s">
        <v>2057</v>
      </c>
      <c r="E78" s="1794"/>
      <c r="F78" s="899">
        <v>3415.37</v>
      </c>
      <c r="G78" s="900"/>
      <c r="H78" s="870"/>
    </row>
    <row r="79" spans="1:8" s="894" customFormat="1" ht="12" customHeight="1" thickBot="1" x14ac:dyDescent="0.25">
      <c r="A79" s="1802"/>
      <c r="B79" s="1796"/>
      <c r="C79" s="1792"/>
      <c r="D79" s="1797" t="s">
        <v>2011</v>
      </c>
      <c r="E79" s="1794" t="s">
        <v>1015</v>
      </c>
      <c r="F79" s="1803">
        <f>IF(F78&gt;0,F77/F78," Complete Line 78")</f>
        <v>13717.415682634679</v>
      </c>
      <c r="G79" s="870"/>
    </row>
    <row r="80" spans="1:8" s="894" customFormat="1" ht="8.25" customHeight="1" thickTop="1" x14ac:dyDescent="0.2">
      <c r="A80" s="901"/>
      <c r="B80" s="870"/>
      <c r="C80" s="872"/>
      <c r="D80" s="902"/>
      <c r="E80" s="869"/>
      <c r="F80" s="903"/>
      <c r="G80" s="870"/>
    </row>
    <row r="81" spans="1:7" s="894" customFormat="1" ht="12" thickBot="1" x14ac:dyDescent="0.25">
      <c r="A81" s="2299" t="s">
        <v>1167</v>
      </c>
      <c r="B81" s="2300"/>
      <c r="C81" s="2300"/>
      <c r="D81" s="2300"/>
      <c r="E81" s="2300"/>
      <c r="F81" s="2301"/>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158117</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51091</v>
      </c>
      <c r="G94" s="913"/>
    </row>
    <row r="95" spans="1:7" x14ac:dyDescent="0.2">
      <c r="A95" s="909" t="s">
        <v>142</v>
      </c>
      <c r="B95" s="909" t="s">
        <v>177</v>
      </c>
      <c r="C95" s="911">
        <v>1700</v>
      </c>
      <c r="D95" s="919" t="str">
        <f>'Revenues 9-14'!A82</f>
        <v>Total District/School Activity Income</v>
      </c>
      <c r="E95" s="907"/>
      <c r="F95" s="1809">
        <f>SUM('Revenues 9-14'!C82,'Revenues 9-14'!D82)</f>
        <v>56637</v>
      </c>
      <c r="G95" s="913"/>
    </row>
    <row r="96" spans="1:7" x14ac:dyDescent="0.2">
      <c r="A96" s="909" t="s">
        <v>479</v>
      </c>
      <c r="B96" s="909" t="s">
        <v>178</v>
      </c>
      <c r="C96" s="911">
        <f>'Revenues 9-14'!B84</f>
        <v>1811</v>
      </c>
      <c r="D96" s="912" t="str">
        <f>'Revenues 9-14'!A84</f>
        <v>Rentals - Regular Textbooks</v>
      </c>
      <c r="E96" s="907"/>
      <c r="F96" s="1809">
        <f>'Revenues 9-14'!C84</f>
        <v>386</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4806</v>
      </c>
      <c r="G98" s="913"/>
    </row>
    <row r="99" spans="1:7" x14ac:dyDescent="0.2">
      <c r="A99" s="909" t="s">
        <v>479</v>
      </c>
      <c r="B99" s="909" t="s">
        <v>181</v>
      </c>
      <c r="C99" s="911">
        <f>'Revenues 9-14'!B91</f>
        <v>1829</v>
      </c>
      <c r="D99" s="912" t="str">
        <f>'Revenues 9-14'!A91</f>
        <v>Sales - Other (Describe &amp; Itemize)</v>
      </c>
      <c r="E99" s="907"/>
      <c r="F99" s="1809">
        <f>'Revenues 9-14'!C91</f>
        <v>513</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39508</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3304</v>
      </c>
      <c r="G104" s="913"/>
    </row>
    <row r="105" spans="1:7" x14ac:dyDescent="0.2">
      <c r="A105" s="909" t="s">
        <v>524</v>
      </c>
      <c r="B105" s="909" t="s">
        <v>842</v>
      </c>
      <c r="C105" s="914">
        <v>3100</v>
      </c>
      <c r="D105" s="920" t="str">
        <f>'Revenues 9-14'!A131</f>
        <v>Total Special Education</v>
      </c>
      <c r="E105" s="907"/>
      <c r="F105" s="1809">
        <f>SUM('Revenues 9-14'!C131:D131,'Revenues 9-14'!F131)</f>
        <v>274495</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23159</v>
      </c>
      <c r="G106" s="913"/>
    </row>
    <row r="107" spans="1:7" x14ac:dyDescent="0.2">
      <c r="A107" s="922" t="s">
        <v>685</v>
      </c>
      <c r="B107" s="909" t="s">
        <v>843</v>
      </c>
      <c r="C107" s="921">
        <v>3300</v>
      </c>
      <c r="D107" s="912" t="str">
        <f>'Revenues 9-14'!A144</f>
        <v>Total Bilingual Ed</v>
      </c>
      <c r="E107" s="907"/>
      <c r="F107" s="1809">
        <f>SUM('Revenues 9-14'!C144,'Revenues 9-14'!G144)</f>
        <v>27030</v>
      </c>
      <c r="G107" s="913"/>
    </row>
    <row r="108" spans="1:7" x14ac:dyDescent="0.2">
      <c r="A108" s="909" t="s">
        <v>479</v>
      </c>
      <c r="B108" s="909" t="s">
        <v>844</v>
      </c>
      <c r="C108" s="921">
        <f>'Revenues 9-14'!B145</f>
        <v>3360</v>
      </c>
      <c r="D108" s="912" t="str">
        <f>'Revenues 9-14'!A145</f>
        <v>State Free Lunch &amp; Breakfast</v>
      </c>
      <c r="E108" s="907"/>
      <c r="F108" s="1809">
        <f>'Revenues 9-14'!C145</f>
        <v>19889</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38759</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1038306</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254933</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74970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1726159</v>
      </c>
      <c r="G129" s="931"/>
    </row>
    <row r="130" spans="1:7" x14ac:dyDescent="0.2">
      <c r="A130" s="928" t="s">
        <v>689</v>
      </c>
      <c r="B130" s="928" t="s">
        <v>804</v>
      </c>
      <c r="C130" s="933">
        <v>4300</v>
      </c>
      <c r="D130" s="934" t="str">
        <f>'Revenues 9-14'!A211</f>
        <v>Total Title I</v>
      </c>
      <c r="E130" s="907"/>
      <c r="F130" s="1809">
        <f>SUM('Revenues 9-14'!C211,'Revenues 9-14'!D211,'Revenues 9-14'!F211,'Revenues 9-14'!G211)</f>
        <v>1998278</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1111620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97443</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2131</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6914</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193084</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69521</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576684</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26545</v>
      </c>
      <c r="G174" s="928"/>
    </row>
    <row r="175" spans="1:7" x14ac:dyDescent="0.2">
      <c r="A175" s="1942" t="s">
        <v>5</v>
      </c>
      <c r="B175" s="1943" t="s">
        <v>2056</v>
      </c>
      <c r="C175" s="1944">
        <v>3100</v>
      </c>
      <c r="D175" s="1945" t="s">
        <v>2059</v>
      </c>
      <c r="E175" s="907"/>
      <c r="F175" s="1929"/>
      <c r="G175" s="928"/>
    </row>
    <row r="176" spans="1:7" x14ac:dyDescent="0.2">
      <c r="A176" s="1942" t="s">
        <v>685</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1015</v>
      </c>
      <c r="F178" s="1808">
        <f>SUM(F84:F136,F161:F176)</f>
        <v>7874282</v>
      </c>
    </row>
    <row r="179" spans="1:7" ht="12" customHeight="1" x14ac:dyDescent="0.2">
      <c r="A179" s="1790"/>
      <c r="B179" s="1804"/>
      <c r="C179" s="1805"/>
      <c r="D179" s="1806" t="s">
        <v>2013</v>
      </c>
      <c r="E179" s="1807"/>
      <c r="F179" s="1809">
        <f>'PCTC-OEPP 27-28'!F77-F178</f>
        <v>38975768</v>
      </c>
    </row>
    <row r="180" spans="1:7" ht="12" customHeight="1" x14ac:dyDescent="0.2">
      <c r="A180" s="1790"/>
      <c r="B180" s="1804"/>
      <c r="C180" s="1805"/>
      <c r="D180" s="1806" t="s">
        <v>1922</v>
      </c>
      <c r="E180" s="1807"/>
      <c r="F180" s="1809">
        <f>'Cap Outlay Deprec 26'!I18</f>
        <v>1522334.6</v>
      </c>
    </row>
    <row r="181" spans="1:7" ht="12" customHeight="1" x14ac:dyDescent="0.2">
      <c r="A181" s="1790"/>
      <c r="B181" s="1804"/>
      <c r="C181" s="1805"/>
      <c r="D181" s="1806" t="s">
        <v>2014</v>
      </c>
      <c r="E181" s="1807"/>
      <c r="F181" s="1809">
        <f>F179+F180</f>
        <v>40498102.600000001</v>
      </c>
    </row>
    <row r="182" spans="1:7" ht="12" customHeight="1" x14ac:dyDescent="0.2">
      <c r="A182" s="1790"/>
      <c r="B182" s="1810"/>
      <c r="C182" s="1805"/>
      <c r="D182" s="1806" t="str">
        <f>D78</f>
        <v>9 Month ADA from District Average Daily Attendance/Prior General State Aid Inquiry 2017-2018</v>
      </c>
      <c r="E182" s="1807"/>
      <c r="F182" s="1811">
        <f>'PCTC-OEPP 27-28'!F78</f>
        <v>3415.37</v>
      </c>
      <c r="G182" s="931"/>
    </row>
    <row r="183" spans="1:7" ht="12" customHeight="1" thickBot="1" x14ac:dyDescent="0.25">
      <c r="A183" s="1790"/>
      <c r="B183" s="1810"/>
      <c r="C183" s="1805"/>
      <c r="D183" s="1806" t="s">
        <v>2015</v>
      </c>
      <c r="E183" s="1807" t="s">
        <v>1626</v>
      </c>
      <c r="F183" s="1812">
        <f>F181/F182</f>
        <v>11857.603305059189</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workbookViewId="0">
      <pane ySplit="16" topLeftCell="A29" activePane="bottomLeft" state="frozen"/>
      <selection pane="bottomLeft" activeCell="D34" sqref="D34"/>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1938</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313" t="s">
        <v>1923</v>
      </c>
      <c r="B4" s="2314"/>
      <c r="C4" s="2314"/>
      <c r="D4" s="2314"/>
      <c r="E4" s="2314"/>
      <c r="F4" s="2314"/>
      <c r="G4" s="2315"/>
    </row>
    <row r="5" spans="1:7" x14ac:dyDescent="0.25">
      <c r="A5" s="2316"/>
      <c r="B5" s="2317"/>
      <c r="C5" s="2317"/>
      <c r="D5" s="2317"/>
      <c r="E5" s="2317"/>
      <c r="F5" s="2317"/>
      <c r="G5" s="2318"/>
    </row>
    <row r="6" spans="1:7" ht="18.75" x14ac:dyDescent="0.25">
      <c r="A6" s="1554" t="s">
        <v>1924</v>
      </c>
      <c r="B6" s="1555"/>
      <c r="C6" s="1555"/>
      <c r="D6" s="1555"/>
      <c r="E6" s="1555"/>
      <c r="F6" s="1555"/>
      <c r="G6" s="1556"/>
    </row>
    <row r="7" spans="1:7" ht="30.75" customHeight="1" x14ac:dyDescent="0.25">
      <c r="A7" s="2319" t="s">
        <v>2073</v>
      </c>
      <c r="B7" s="2320"/>
      <c r="C7" s="2320"/>
      <c r="D7" s="2320"/>
      <c r="E7" s="2320"/>
      <c r="F7" s="2320"/>
      <c r="G7" s="2321"/>
    </row>
    <row r="8" spans="1:7" ht="15.75" customHeight="1" x14ac:dyDescent="0.25">
      <c r="A8" s="2322" t="s">
        <v>2022</v>
      </c>
      <c r="B8" s="2323"/>
      <c r="C8" s="2323"/>
      <c r="D8" s="2323"/>
      <c r="E8" s="2323"/>
      <c r="F8" s="2323"/>
      <c r="G8" s="2324"/>
    </row>
    <row r="9" spans="1:7" ht="35.25" customHeight="1" x14ac:dyDescent="0.25">
      <c r="A9" s="2319" t="s">
        <v>2021</v>
      </c>
      <c r="B9" s="2320"/>
      <c r="C9" s="2320"/>
      <c r="D9" s="2320"/>
      <c r="E9" s="2320"/>
      <c r="F9" s="2320"/>
      <c r="G9" s="2321"/>
    </row>
    <row r="10" spans="1:7" ht="15" customHeight="1" x14ac:dyDescent="0.25">
      <c r="A10" s="1557" t="s">
        <v>1925</v>
      </c>
      <c r="B10" s="1558"/>
      <c r="C10" s="1558"/>
      <c r="D10" s="1558"/>
      <c r="E10" s="1558"/>
      <c r="F10" s="1558"/>
      <c r="G10" s="1559"/>
    </row>
    <row r="11" spans="1:7" ht="17.25" customHeight="1" x14ac:dyDescent="0.25">
      <c r="A11" s="2319" t="s">
        <v>1939</v>
      </c>
      <c r="B11" s="2320"/>
      <c r="C11" s="2320"/>
      <c r="D11" s="2320"/>
      <c r="E11" s="2320"/>
      <c r="F11" s="2320"/>
      <c r="G11" s="2321"/>
    </row>
    <row r="12" spans="1:7" ht="15" customHeight="1" x14ac:dyDescent="0.25">
      <c r="A12" s="1557" t="s">
        <v>1930</v>
      </c>
      <c r="B12" s="1558"/>
      <c r="C12" s="1558"/>
      <c r="D12" s="1558"/>
      <c r="E12" s="1558"/>
      <c r="F12" s="1558"/>
      <c r="G12" s="1559"/>
    </row>
    <row r="13" spans="1:7" ht="32.25" customHeight="1" x14ac:dyDescent="0.25">
      <c r="A13" s="2310" t="s">
        <v>1931</v>
      </c>
      <c r="B13" s="2311"/>
      <c r="C13" s="2311"/>
      <c r="D13" s="2311"/>
      <c r="E13" s="2311"/>
      <c r="F13" s="2311"/>
      <c r="G13" s="2312"/>
    </row>
    <row r="14" spans="1:7" x14ac:dyDescent="0.25">
      <c r="A14" s="1681" t="s">
        <v>1940</v>
      </c>
      <c r="B14" s="1682"/>
      <c r="C14" s="1682"/>
      <c r="D14" s="1682"/>
      <c r="E14" s="1682"/>
      <c r="F14" s="1682"/>
      <c r="G14" s="1683"/>
    </row>
    <row r="15" spans="1:7" ht="61.5" customHeight="1" x14ac:dyDescent="0.25">
      <c r="A15" s="1566" t="s">
        <v>1932</v>
      </c>
      <c r="B15" s="1566" t="s">
        <v>1933</v>
      </c>
      <c r="C15" s="1566" t="s">
        <v>1934</v>
      </c>
      <c r="D15" s="1567" t="s">
        <v>1935</v>
      </c>
      <c r="E15" s="1567" t="s">
        <v>1926</v>
      </c>
      <c r="F15" s="1567" t="s">
        <v>1936</v>
      </c>
      <c r="G15" s="1567" t="s">
        <v>1937</v>
      </c>
    </row>
    <row r="16" spans="1:7" x14ac:dyDescent="0.25">
      <c r="A16" s="1668" t="s">
        <v>1941</v>
      </c>
      <c r="B16" s="1669" t="s">
        <v>1929</v>
      </c>
      <c r="C16" s="1670" t="s">
        <v>1927</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675"/>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956" t="s">
        <v>2123</v>
      </c>
      <c r="B29" s="1867"/>
      <c r="C29" s="1674"/>
      <c r="D29" s="1865">
        <v>0</v>
      </c>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D21" sqref="D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5" t="s">
        <v>1778</v>
      </c>
      <c r="B5" s="2326"/>
      <c r="C5" s="2326"/>
      <c r="D5" s="2326"/>
      <c r="E5" s="2326"/>
      <c r="F5" s="2326"/>
      <c r="G5" s="2327"/>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c r="F10" s="975"/>
      <c r="G10" s="976"/>
      <c r="H10" s="162"/>
      <c r="I10" s="162"/>
    </row>
    <row r="11" spans="1:9" s="669" customFormat="1" ht="22.5" customHeight="1" x14ac:dyDescent="0.2">
      <c r="A11" s="2330" t="s">
        <v>1943</v>
      </c>
      <c r="B11" s="2331"/>
      <c r="C11" s="2331"/>
      <c r="D11" s="2332"/>
      <c r="E11" s="978">
        <v>95607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8" t="s">
        <v>553</v>
      </c>
      <c r="E17" s="1659"/>
      <c r="F17" s="1658" t="s">
        <v>453</v>
      </c>
      <c r="G17" s="1660"/>
      <c r="H17" s="162"/>
      <c r="I17" s="162"/>
    </row>
    <row r="18" spans="1:9" s="259" customFormat="1" ht="11.25" x14ac:dyDescent="0.2">
      <c r="A18" s="989"/>
      <c r="C18" s="990" t="s">
        <v>454</v>
      </c>
      <c r="D18" s="1661" t="s">
        <v>455</v>
      </c>
      <c r="E18" s="1661" t="s">
        <v>55</v>
      </c>
      <c r="F18" s="1661" t="s">
        <v>455</v>
      </c>
      <c r="G18" s="1661"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24233309</v>
      </c>
      <c r="F19" s="1820"/>
      <c r="G19" s="1822">
        <f>'Expenditures 15-22'!K33-SUM('Expenditures 15-22'!G33,'Expenditures 15-22'!I33)+'Expenditures 15-22'!D229</f>
        <v>24233309</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3864741</v>
      </c>
      <c r="F21" s="1823"/>
      <c r="G21" s="1826">
        <f>'Expenditures 15-22'!K42-SUM('Expenditures 15-22'!G42,'Expenditures 15-22'!I42)+'Expenditures 15-22'!K120-SUM('Expenditures 15-22'!G120,'Expenditures 15-22'!I120)+'Expenditures 15-22'!K180-SUM('Expenditures 15-22'!G180,'Expenditures 15-22'!I180)+'Expenditures 15-22'!D238</f>
        <v>3864741</v>
      </c>
      <c r="H21" s="988"/>
      <c r="I21" s="162"/>
    </row>
    <row r="22" spans="1:9" s="669" customFormat="1" ht="12" customHeight="1" x14ac:dyDescent="0.2">
      <c r="A22" s="995" t="s">
        <v>585</v>
      </c>
      <c r="B22" s="996"/>
      <c r="C22" s="994">
        <v>2200</v>
      </c>
      <c r="D22" s="1823"/>
      <c r="E22" s="1825">
        <f>'Expenditures 15-22'!K47-SUM('Expenditures 15-22'!G47,'Expenditures 15-22'!I47)+'Expenditures 15-22'!D243</f>
        <v>4107769</v>
      </c>
      <c r="F22" s="1823"/>
      <c r="G22" s="1826">
        <f>'Expenditures 15-22'!K47-SUM('Expenditures 15-22'!G47,'Expenditures 15-22'!I47)+'Expenditures 15-22'!D243</f>
        <v>4107769</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1444784</v>
      </c>
      <c r="F23" s="1823"/>
      <c r="G23" s="1825">
        <f>'Expenditures 15-22'!K53-SUM('Expenditures 15-22'!G53,'Expenditures 15-22'!I53)+'Expenditures 15-22'!D257+'Expenditures 15-22'!K330-SUM('Expenditures 15-22'!G330,'Expenditures 15-22'!I330)</f>
        <v>1444784</v>
      </c>
      <c r="H23" s="988"/>
      <c r="I23" s="162"/>
    </row>
    <row r="24" spans="1:9" s="669" customFormat="1" ht="12" customHeight="1" x14ac:dyDescent="0.2">
      <c r="A24" s="995" t="s">
        <v>587</v>
      </c>
      <c r="B24" s="996"/>
      <c r="C24" s="994">
        <v>2400</v>
      </c>
      <c r="D24" s="1823"/>
      <c r="E24" s="1825">
        <f>'Expenditures 15-22'!K57-SUM('Expenditures 15-22'!G57,'Expenditures 15-22'!I57)+'Expenditures 15-22'!D261</f>
        <v>3153513</v>
      </c>
      <c r="F24" s="1823"/>
      <c r="G24" s="1826">
        <f>'Expenditures 15-22'!K57-SUM('Expenditures 15-22'!G57,'Expenditures 15-22'!I57)+'Expenditures 15-22'!D261</f>
        <v>3153513</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360336</v>
      </c>
      <c r="E26" s="1825">
        <f>'Expenditures 15-22'!K122-SUM('Expenditures 15-22'!G122,'Expenditures 15-22'!I122)+E7</f>
        <v>2817</v>
      </c>
      <c r="F26" s="1825">
        <f>'Expenditures 15-22'!K59-SUM('Expenditures 15-22'!G59,'Expenditures 15-22'!I59)+'Expenditures 15-22'!D263-E7</f>
        <v>360336</v>
      </c>
      <c r="G26" s="1826">
        <f>'Expenditures 15-22'!K122-SUM('Expenditures 15-22'!G122,'Expenditures 15-22'!I122)+E7</f>
        <v>2817</v>
      </c>
      <c r="H26" s="988"/>
      <c r="I26" s="162"/>
    </row>
    <row r="27" spans="1:9" s="669" customFormat="1" ht="12" customHeight="1" x14ac:dyDescent="0.2">
      <c r="A27" s="995" t="s">
        <v>483</v>
      </c>
      <c r="B27" s="998"/>
      <c r="C27" s="994">
        <v>2520</v>
      </c>
      <c r="D27" s="1825">
        <f>'Expenditures 15-22'!K60-SUM('Expenditures 15-22'!G60,'Expenditures 15-22'!I60)+'Expenditures 15-22'!D264-E8</f>
        <v>241859</v>
      </c>
      <c r="E27" s="1825">
        <f>E8</f>
        <v>0</v>
      </c>
      <c r="F27" s="1825">
        <f>'Expenditures 15-22'!K60-SUM('Expenditures 15-22'!G60,'Expenditures 15-22'!I60)+'Expenditures 15-22'!D264-E8</f>
        <v>241859</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4226135</v>
      </c>
      <c r="F28" s="1827">
        <f>'Expenditures 15-22'!K61-SUM('Expenditures 15-22'!G61,'Expenditures 15-22'!I61)+'Expenditures 15-22'!K124-SUM('Expenditures 15-22'!G124,'Expenditures 15-22'!I124)+'Expenditures 15-22'!D266-E9</f>
        <v>4226135</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2560662</v>
      </c>
      <c r="F29" s="1823"/>
      <c r="G29" s="1826">
        <f>'Expenditures 15-22'!K62-SUM('Expenditures 15-22'!G62,'Expenditures 15-22'!I62)+'Expenditures 15-22'!K125-SUM('Expenditures 15-22'!G125,'Expenditures 15-22'!I125)+'Expenditures 15-22'!K182-SUM('Expenditures 15-22'!G182,'Expenditures 15-22'!I182)+'Expenditures 15-22'!D267</f>
        <v>2560662</v>
      </c>
      <c r="H29" s="986"/>
    </row>
    <row r="30" spans="1:9" ht="12" customHeight="1" x14ac:dyDescent="0.2">
      <c r="A30" s="995" t="s">
        <v>102</v>
      </c>
      <c r="B30" s="998"/>
      <c r="C30" s="994">
        <v>2560</v>
      </c>
      <c r="D30" s="1823"/>
      <c r="E30" s="1825">
        <f>'Expenditures 15-22'!K63-SUM('Expenditures 15-22'!G63,'Expenditures 15-22'!I63)+'Expenditures 15-22'!D268-E10</f>
        <v>2136333</v>
      </c>
      <c r="F30" s="1823"/>
      <c r="G30" s="1825">
        <f>'Expenditures 15-22'!K63-SUM('Expenditures 15-22'!G63,'Expenditures 15-22'!I63)+'Expenditures 15-22'!D268-E10</f>
        <v>2136333</v>
      </c>
    </row>
    <row r="31" spans="1:9" ht="12" customHeight="1" x14ac:dyDescent="0.2">
      <c r="A31" s="995" t="s">
        <v>103</v>
      </c>
      <c r="B31" s="998"/>
      <c r="C31" s="994">
        <v>2570</v>
      </c>
      <c r="D31" s="1825">
        <f>'Expenditures 15-22'!K64-SUM('Expenditures 15-22'!G64,'Expenditures 15-22'!I64)+'Expenditures 15-22'!D269-E12</f>
        <v>117633</v>
      </c>
      <c r="E31" s="1825">
        <f>E12</f>
        <v>0</v>
      </c>
      <c r="F31" s="1825">
        <f>'Expenditures 15-22'!K64-SUM('Expenditures 15-22'!G64,'Expenditures 15-22'!I64)+'Expenditures 15-22'!D269-E12</f>
        <v>117633</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9165</v>
      </c>
      <c r="F34" s="1823"/>
      <c r="G34" s="1825">
        <f>'Expenditures 15-22'!K68-SUM('Expenditures 15-22'!G68,'Expenditures 15-22'!I68)+'Expenditures 15-22'!D273</f>
        <v>9165</v>
      </c>
    </row>
    <row r="35" spans="1:7" ht="12" customHeight="1" x14ac:dyDescent="0.2">
      <c r="A35" s="995" t="s">
        <v>1121</v>
      </c>
      <c r="B35" s="998"/>
      <c r="C35" s="994">
        <v>2630</v>
      </c>
      <c r="D35" s="1823"/>
      <c r="E35" s="1825">
        <f>'Expenditures 15-22'!K69-SUM('Expenditures 15-22'!G69,'Expenditures 15-22'!I69)+'Expenditures 15-22'!D274</f>
        <v>104397</v>
      </c>
      <c r="F35" s="1823"/>
      <c r="G35" s="1825">
        <f>'Expenditures 15-22'!K69-SUM('Expenditures 15-22'!G69,'Expenditures 15-22'!I69)+'Expenditures 15-22'!D274</f>
        <v>104397</v>
      </c>
    </row>
    <row r="36" spans="1:7" ht="12" customHeight="1" x14ac:dyDescent="0.2">
      <c r="A36" s="995" t="s">
        <v>423</v>
      </c>
      <c r="B36" s="998"/>
      <c r="C36" s="994">
        <v>2640</v>
      </c>
      <c r="D36" s="1825">
        <f>'Expenditures 15-22'!K70-SUM('Expenditures 15-22'!G70,'Expenditures 15-22'!I70)+'Expenditures 15-22'!D275-E13</f>
        <v>374570</v>
      </c>
      <c r="E36" s="1825">
        <f>E13</f>
        <v>0</v>
      </c>
      <c r="F36" s="1825">
        <f>'Expenditures 15-22'!K70-SUM('Expenditures 15-22'!G70,'Expenditures 15-22'!I70)+'Expenditures 15-22'!D275-E13</f>
        <v>374570</v>
      </c>
      <c r="G36" s="1825">
        <f>E13</f>
        <v>0</v>
      </c>
    </row>
    <row r="37" spans="1:7" ht="12" customHeight="1" x14ac:dyDescent="0.2">
      <c r="A37" s="995" t="s">
        <v>424</v>
      </c>
      <c r="B37" s="998"/>
      <c r="C37" s="994">
        <v>2660</v>
      </c>
      <c r="D37" s="1825">
        <f>'Expenditures 15-22'!K71-SUM('Expenditures 15-22'!G71,'Expenditures 15-22'!I71)+'Expenditures 15-22'!D276-E14</f>
        <v>101959</v>
      </c>
      <c r="E37" s="1825">
        <f>E14</f>
        <v>0</v>
      </c>
      <c r="F37" s="1825">
        <f>'Expenditures 15-22'!K71-SUM('Expenditures 15-22'!G71,'Expenditures 15-22'!I71)+'Expenditures 15-22'!D276-E14</f>
        <v>101959</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241114</v>
      </c>
      <c r="F38" s="1823"/>
      <c r="G38" s="1825">
        <f>'Expenditures 15-22'!K73-SUM('Expenditures 15-22'!G73,'Expenditures 15-22'!I73)+'Expenditures 15-22'!K128-SUM('Expenditures 15-22'!G128,'Expenditures 15-22'!I128)+'Expenditures 15-22'!K183-SUM('Expenditures 15-22'!G183,'Expenditures 15-22'!I183)+'Expenditures 15-22'!D278</f>
        <v>241114</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133860</v>
      </c>
      <c r="F39" s="1823"/>
      <c r="G39" s="1825">
        <f>'Expenditures 15-22'!K75-SUM('Expenditures 15-22'!G75,'Expenditures 15-22'!I75)+'Expenditures 15-22'!K130-SUM('Expenditures 15-22'!G130,'Expenditures 15-22'!I130)+'Expenditures 15-22'!K185-SUM('Expenditures 15-22'!G185,'Expenditures 15-22'!I185)+'Expenditures 15-22'!D280</f>
        <v>133860</v>
      </c>
    </row>
    <row r="40" spans="1:7" ht="12" customHeight="1" x14ac:dyDescent="0.2">
      <c r="A40" s="991" t="s">
        <v>1928</v>
      </c>
      <c r="B40" s="992"/>
      <c r="C40" s="994"/>
      <c r="D40" s="1823"/>
      <c r="E40" s="1827">
        <f>-'Contracts Paid in CY 29'!G141</f>
        <v>0</v>
      </c>
      <c r="F40" s="1823"/>
      <c r="G40" s="1827">
        <f>-'Contracts Paid in CY 29'!G141</f>
        <v>0</v>
      </c>
    </row>
    <row r="41" spans="1:7" ht="12" customHeight="1" x14ac:dyDescent="0.2">
      <c r="A41" s="999" t="s">
        <v>158</v>
      </c>
      <c r="B41" s="1000"/>
      <c r="C41" s="1001"/>
      <c r="D41" s="1827">
        <f>SUM(D19:D39)</f>
        <v>1196357</v>
      </c>
      <c r="E41" s="1827">
        <f>SUM(E19:E40)</f>
        <v>46218599</v>
      </c>
      <c r="F41" s="1827">
        <f>SUM(F19:F39)</f>
        <v>5422492</v>
      </c>
      <c r="G41" s="1827">
        <f>SUM(G19:G40)</f>
        <v>41992464</v>
      </c>
    </row>
    <row r="42" spans="1:7" x14ac:dyDescent="0.2">
      <c r="A42" s="988"/>
      <c r="B42" s="162"/>
      <c r="C42" s="1002"/>
      <c r="D42" s="2328" t="s">
        <v>543</v>
      </c>
      <c r="E42" s="2329"/>
      <c r="F42" s="1003" t="s">
        <v>544</v>
      </c>
      <c r="G42" s="1004"/>
    </row>
    <row r="43" spans="1:7" ht="12" customHeight="1" x14ac:dyDescent="0.2">
      <c r="A43" s="988"/>
      <c r="B43" s="162"/>
      <c r="C43" s="1002"/>
      <c r="D43" s="1828" t="s">
        <v>493</v>
      </c>
      <c r="E43" s="1829">
        <f>D41</f>
        <v>1196357</v>
      </c>
      <c r="F43" s="1828" t="s">
        <v>495</v>
      </c>
      <c r="G43" s="1829">
        <f>F41</f>
        <v>5422492</v>
      </c>
    </row>
    <row r="44" spans="1:7" ht="12" customHeight="1" x14ac:dyDescent="0.2">
      <c r="A44" s="988"/>
      <c r="B44" s="162"/>
      <c r="C44" s="1002"/>
      <c r="D44" s="1828" t="s">
        <v>494</v>
      </c>
      <c r="E44" s="1829">
        <f>E41</f>
        <v>46218599</v>
      </c>
      <c r="F44" s="1828" t="s">
        <v>494</v>
      </c>
      <c r="G44" s="1829">
        <f>G41</f>
        <v>41992464</v>
      </c>
    </row>
    <row r="45" spans="1:7" ht="12" customHeight="1" x14ac:dyDescent="0.2">
      <c r="A45" s="988"/>
      <c r="B45" s="162"/>
      <c r="C45" s="162"/>
      <c r="D45" s="1830" t="s">
        <v>1063</v>
      </c>
      <c r="E45" s="1831">
        <f>(E43/E44)</f>
        <v>2.5884752586291072E-2</v>
      </c>
      <c r="F45" s="1830" t="s">
        <v>1063</v>
      </c>
      <c r="G45" s="1831">
        <f>(G43/G44)</f>
        <v>0.12913012201427379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showGridLines="0" zoomScale="110" zoomScaleNormal="110" workbookViewId="0">
      <pane ySplit="4" topLeftCell="A5" activePane="bottomLeft" state="frozen"/>
      <selection activeCell="A47" sqref="A47"/>
      <selection pane="bottomLeft" activeCell="A26" sqref="A26"/>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47" t="s">
        <v>1446</v>
      </c>
      <c r="B1" s="2347"/>
      <c r="C1" s="2347"/>
      <c r="D1" s="2347"/>
      <c r="E1" s="2347"/>
      <c r="F1" s="2347"/>
    </row>
    <row r="2" spans="1:10" x14ac:dyDescent="0.2">
      <c r="A2" s="1910" t="s">
        <v>2046</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48" t="s">
        <v>1627</v>
      </c>
      <c r="B5" s="2349"/>
      <c r="C5" s="2350"/>
      <c r="D5" s="2350"/>
      <c r="E5" s="2350"/>
      <c r="F5" s="2350"/>
    </row>
    <row r="6" spans="1:10" ht="12" customHeight="1" x14ac:dyDescent="0.25">
      <c r="A6" s="1873"/>
      <c r="B6" s="1874"/>
      <c r="C6" s="2351" t="str">
        <f>COVER!A17</f>
        <v>FREEPORT SCHOOL DISTRICT NO. 145</v>
      </c>
      <c r="D6" s="2351"/>
      <c r="E6" s="2351"/>
      <c r="F6" s="1875"/>
    </row>
    <row r="7" spans="1:10" ht="11.25" customHeight="1" thickBot="1" x14ac:dyDescent="0.3">
      <c r="A7" s="1873"/>
      <c r="B7" s="1874"/>
      <c r="C7" s="2352" t="str">
        <f>COVER!A13</f>
        <v>08-089-1450-22</v>
      </c>
      <c r="D7" s="2352"/>
      <c r="E7" s="2352"/>
      <c r="F7" s="1875"/>
    </row>
    <row r="8" spans="1:10" ht="25.5" customHeight="1" thickBot="1" x14ac:dyDescent="0.25">
      <c r="A8" s="1916" t="s">
        <v>2023</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t="s">
        <v>2081</v>
      </c>
      <c r="D31" s="1888" t="s">
        <v>2081</v>
      </c>
      <c r="E31" s="1891"/>
      <c r="F31" s="1890" t="s">
        <v>2099</v>
      </c>
      <c r="H31" s="1901">
        <f t="shared" si="0"/>
        <v>5</v>
      </c>
      <c r="I31" s="1901">
        <f t="shared" si="1"/>
        <v>5</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0</v>
      </c>
      <c r="K34" s="1901">
        <f>SUM(H34:J34)</f>
        <v>10</v>
      </c>
    </row>
    <row r="35" spans="1:11" ht="12" customHeight="1" x14ac:dyDescent="0.2">
      <c r="A35" s="1894" t="s">
        <v>1459</v>
      </c>
      <c r="B35" s="1895"/>
      <c r="C35" s="2353"/>
      <c r="D35" s="2353"/>
      <c r="E35" s="2353"/>
      <c r="F35" s="2354"/>
    </row>
    <row r="36" spans="1:11" ht="12" customHeight="1" x14ac:dyDescent="0.2">
      <c r="A36" s="2336"/>
      <c r="B36" s="2337"/>
      <c r="C36" s="2337"/>
      <c r="D36" s="2337"/>
      <c r="E36" s="2337"/>
      <c r="F36" s="2338"/>
    </row>
    <row r="37" spans="1:11" ht="12" customHeight="1" x14ac:dyDescent="0.2">
      <c r="A37" s="2336"/>
      <c r="B37" s="2337"/>
      <c r="C37" s="2337"/>
      <c r="D37" s="2337"/>
      <c r="E37" s="2337"/>
      <c r="F37" s="2338"/>
    </row>
    <row r="38" spans="1:11" ht="12" customHeight="1" x14ac:dyDescent="0.2">
      <c r="A38" s="2339"/>
      <c r="B38" s="2340"/>
      <c r="C38" s="2340"/>
      <c r="D38" s="2340"/>
      <c r="E38" s="2340"/>
      <c r="F38" s="2341"/>
    </row>
    <row r="39" spans="1:11" ht="4.5" hidden="1" customHeight="1" x14ac:dyDescent="0.2">
      <c r="A39" s="1896"/>
      <c r="B39" s="1896"/>
      <c r="C39" s="1896"/>
      <c r="D39" s="1896"/>
      <c r="E39" s="1896"/>
      <c r="F39" s="1896"/>
    </row>
    <row r="40" spans="1:11" s="1893" customFormat="1" ht="12" customHeight="1" x14ac:dyDescent="0.25">
      <c r="A40" s="1897" t="s">
        <v>1458</v>
      </c>
      <c r="B40" s="1898"/>
      <c r="C40" s="2342"/>
      <c r="D40" s="2342"/>
      <c r="E40" s="2342"/>
      <c r="F40" s="2343"/>
      <c r="H40" s="1902"/>
      <c r="I40" s="1902"/>
      <c r="J40" s="1902"/>
      <c r="K40" s="1902"/>
    </row>
    <row r="41" spans="1:11" s="1893" customFormat="1" ht="12" customHeight="1" x14ac:dyDescent="0.25">
      <c r="A41" s="2344"/>
      <c r="B41" s="2345"/>
      <c r="C41" s="2345"/>
      <c r="D41" s="2345"/>
      <c r="E41" s="2345"/>
      <c r="F41" s="2346"/>
      <c r="H41" s="1902"/>
      <c r="I41" s="1902"/>
      <c r="J41" s="1902"/>
      <c r="K41" s="1902"/>
    </row>
    <row r="42" spans="1:11" s="1893" customFormat="1" ht="12" customHeight="1" x14ac:dyDescent="0.25">
      <c r="A42" s="2344"/>
      <c r="B42" s="2345"/>
      <c r="C42" s="2345"/>
      <c r="D42" s="2345"/>
      <c r="E42" s="2345"/>
      <c r="F42" s="2346"/>
      <c r="H42" s="1902"/>
      <c r="I42" s="1902"/>
      <c r="J42" s="1902"/>
      <c r="K42" s="1902"/>
    </row>
    <row r="43" spans="1:11" s="1893" customFormat="1" ht="15" x14ac:dyDescent="0.25">
      <c r="A43" s="2333"/>
      <c r="B43" s="2334"/>
      <c r="C43" s="2334"/>
      <c r="D43" s="2334"/>
      <c r="E43" s="2334"/>
      <c r="F43" s="2335"/>
      <c r="H43" s="1902"/>
      <c r="I43" s="1902"/>
      <c r="J43" s="1902"/>
      <c r="K43" s="1902"/>
    </row>
    <row r="44" spans="1:11" s="1893" customFormat="1" ht="12" hidden="1" customHeight="1" x14ac:dyDescent="0.25">
      <c r="A44" s="2333"/>
      <c r="B44" s="2334"/>
      <c r="C44" s="2334"/>
      <c r="D44" s="2334"/>
      <c r="E44" s="2334"/>
      <c r="F44" s="2335"/>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topLeftCell="A10" colorId="8" zoomScale="110" zoomScaleNormal="110" workbookViewId="0">
      <selection activeCell="C33" sqref="C33:I3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2"/>
      <c r="C6" s="1662"/>
      <c r="D6" s="1662"/>
      <c r="E6" s="1663"/>
      <c r="F6" s="1016"/>
      <c r="G6" s="1010"/>
      <c r="H6" s="1017" t="s">
        <v>1086</v>
      </c>
      <c r="I6" s="2360" t="str">
        <f>COVER!A17</f>
        <v>FREEPORT SCHOOL DISTRICT NO. 145</v>
      </c>
      <c r="J6" s="2361"/>
      <c r="Q6" s="1684"/>
    </row>
    <row r="7" spans="1:17" x14ac:dyDescent="0.2">
      <c r="A7" s="2362" t="s">
        <v>924</v>
      </c>
      <c r="B7" s="2363"/>
      <c r="C7" s="2363"/>
      <c r="D7" s="2363"/>
      <c r="E7" s="2364"/>
      <c r="F7" s="1018"/>
      <c r="G7" s="1010"/>
      <c r="H7" s="1017" t="s">
        <v>390</v>
      </c>
      <c r="I7" s="2365" t="str">
        <f>COVER!A13</f>
        <v>08-089-1450-22</v>
      </c>
      <c r="J7" s="2365"/>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6" t="s">
        <v>502</v>
      </c>
      <c r="B11" s="2367"/>
      <c r="C11" s="2368"/>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289484</v>
      </c>
      <c r="F12" s="1040"/>
      <c r="G12" s="1832">
        <f t="shared" ref="G12:G18" si="0">SUM(E12:F12)</f>
        <v>289484</v>
      </c>
      <c r="H12" s="1041">
        <v>305063</v>
      </c>
      <c r="I12" s="1040"/>
      <c r="J12" s="1832">
        <f t="shared" ref="J12:J18" si="1">SUM(H12:I12)</f>
        <v>305063</v>
      </c>
    </row>
    <row r="13" spans="1:17" ht="15" customHeight="1" x14ac:dyDescent="0.2">
      <c r="A13" s="1036">
        <v>2</v>
      </c>
      <c r="B13" s="1037" t="s">
        <v>44</v>
      </c>
      <c r="C13" s="1038"/>
      <c r="D13" s="1039">
        <v>2330</v>
      </c>
      <c r="E13" s="1832">
        <f>'Expenditures 15-22'!K51</f>
        <v>408110</v>
      </c>
      <c r="F13" s="1040"/>
      <c r="G13" s="1832">
        <f t="shared" si="0"/>
        <v>408110</v>
      </c>
      <c r="H13" s="1041">
        <v>440278</v>
      </c>
      <c r="I13" s="1040"/>
      <c r="J13" s="1832">
        <f t="shared" si="1"/>
        <v>440278</v>
      </c>
    </row>
    <row r="14" spans="1:17" ht="15" customHeight="1" x14ac:dyDescent="0.2">
      <c r="A14" s="1036">
        <v>3</v>
      </c>
      <c r="B14" s="1037" t="s">
        <v>45</v>
      </c>
      <c r="C14" s="1038"/>
      <c r="D14" s="1042">
        <v>2490</v>
      </c>
      <c r="E14" s="1832">
        <f>'Expenditures 15-22'!K56</f>
        <v>557273</v>
      </c>
      <c r="F14" s="1040"/>
      <c r="G14" s="1832">
        <f t="shared" si="0"/>
        <v>557273</v>
      </c>
      <c r="H14" s="1041">
        <v>522782</v>
      </c>
      <c r="I14" s="1040"/>
      <c r="J14" s="1832">
        <f t="shared" si="1"/>
        <v>522782</v>
      </c>
    </row>
    <row r="15" spans="1:17" ht="15" customHeight="1" x14ac:dyDescent="0.2">
      <c r="A15" s="1036">
        <v>4</v>
      </c>
      <c r="B15" s="1037" t="s">
        <v>1128</v>
      </c>
      <c r="C15" s="1038"/>
      <c r="D15" s="1039">
        <v>2510</v>
      </c>
      <c r="E15" s="1832">
        <f>'Expenditures 15-22'!K59</f>
        <v>351984</v>
      </c>
      <c r="F15" s="1832">
        <f>'Expenditures 15-22'!K122</f>
        <v>2817</v>
      </c>
      <c r="G15" s="1832">
        <f t="shared" si="0"/>
        <v>354801</v>
      </c>
      <c r="H15" s="1041">
        <v>386260</v>
      </c>
      <c r="I15" s="1041"/>
      <c r="J15" s="1832">
        <f t="shared" si="1"/>
        <v>386260</v>
      </c>
    </row>
    <row r="16" spans="1:17" ht="15" customHeight="1" x14ac:dyDescent="0.2">
      <c r="A16" s="1036">
        <v>5</v>
      </c>
      <c r="B16" s="1037" t="s">
        <v>103</v>
      </c>
      <c r="C16" s="1038"/>
      <c r="D16" s="1039">
        <v>2570</v>
      </c>
      <c r="E16" s="1832">
        <f>'Expenditures 15-22'!K64</f>
        <v>106555</v>
      </c>
      <c r="F16" s="1040"/>
      <c r="G16" s="1832">
        <f t="shared" si="0"/>
        <v>106555</v>
      </c>
      <c r="H16" s="1041">
        <v>109664</v>
      </c>
      <c r="I16" s="1040"/>
      <c r="J16" s="1832">
        <f t="shared" si="1"/>
        <v>109664</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69" t="s">
        <v>7</v>
      </c>
      <c r="C18" s="2370"/>
      <c r="D18" s="2371"/>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1713406</v>
      </c>
      <c r="F19" s="1834">
        <f t="shared" si="2"/>
        <v>2817</v>
      </c>
      <c r="G19" s="1834">
        <f t="shared" si="2"/>
        <v>1716223</v>
      </c>
      <c r="H19" s="1834">
        <f t="shared" si="2"/>
        <v>1764047</v>
      </c>
      <c r="I19" s="1834">
        <f t="shared" si="2"/>
        <v>0</v>
      </c>
      <c r="J19" s="1834">
        <f t="shared" si="2"/>
        <v>1764047</v>
      </c>
    </row>
    <row r="20" spans="1:10" ht="13.5" thickTop="1" x14ac:dyDescent="0.2">
      <c r="A20" s="1036">
        <v>9</v>
      </c>
      <c r="B20" s="2372" t="s">
        <v>1703</v>
      </c>
      <c r="C20" s="2372"/>
      <c r="D20" s="2373"/>
      <c r="E20" s="1047"/>
      <c r="F20" s="1047"/>
      <c r="G20" s="1047"/>
      <c r="H20" s="1047"/>
      <c r="I20" s="1047"/>
      <c r="J20" s="1835">
        <f>IF(AND(G19&gt;0,J19&gt;0),(((J19-G19)/G19)),"Enter Budget Data")</f>
        <v>2.7865842609031577E-2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8"/>
      <c r="D26" s="2378"/>
      <c r="E26" s="1051"/>
      <c r="F26" s="2377"/>
      <c r="G26" s="2377"/>
    </row>
    <row r="27" spans="1:10" x14ac:dyDescent="0.2">
      <c r="B27" s="1048"/>
      <c r="C27" s="1052" t="s">
        <v>1093</v>
      </c>
      <c r="D27" s="1053"/>
      <c r="E27" s="1054"/>
      <c r="F27" s="2374" t="s">
        <v>1589</v>
      </c>
      <c r="G27" s="2374"/>
    </row>
    <row r="28" spans="1:10" ht="28.5" customHeight="1" x14ac:dyDescent="0.2">
      <c r="B28" s="1048"/>
      <c r="C28" s="2376"/>
      <c r="D28" s="2376"/>
      <c r="E28" s="1055"/>
      <c r="F28" s="2376"/>
      <c r="G28" s="2376"/>
    </row>
    <row r="29" spans="1:10" x14ac:dyDescent="0.2">
      <c r="B29" s="1048"/>
      <c r="C29" s="1056" t="s">
        <v>1642</v>
      </c>
      <c r="E29" s="1057"/>
      <c r="F29" s="2375" t="s">
        <v>1590</v>
      </c>
      <c r="G29" s="237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7" t="s">
        <v>134</v>
      </c>
      <c r="D33" s="2358"/>
      <c r="E33" s="2358"/>
      <c r="F33" s="2358"/>
      <c r="G33" s="2358"/>
      <c r="H33" s="2358"/>
      <c r="I33" s="2358"/>
    </row>
    <row r="34" spans="1:10" ht="10.35" customHeight="1" x14ac:dyDescent="0.2">
      <c r="C34" s="2358"/>
      <c r="D34" s="2358"/>
      <c r="E34" s="2358"/>
      <c r="F34" s="2358"/>
      <c r="G34" s="2358"/>
      <c r="H34" s="2358"/>
      <c r="I34" s="2358"/>
    </row>
    <row r="35" spans="1:10" ht="7.5" customHeight="1" x14ac:dyDescent="0.2">
      <c r="C35" s="1063"/>
    </row>
    <row r="36" spans="1:10" ht="13.5" customHeight="1" x14ac:dyDescent="0.2">
      <c r="B36" s="1062"/>
      <c r="C36" s="2359" t="s">
        <v>1942</v>
      </c>
      <c r="D36" s="2358"/>
      <c r="E36" s="2358"/>
      <c r="F36" s="2358"/>
      <c r="G36" s="2358"/>
      <c r="H36" s="2358"/>
      <c r="I36" s="2358"/>
      <c r="J36" s="1064"/>
    </row>
    <row r="37" spans="1:10" ht="22.5" customHeight="1" x14ac:dyDescent="0.2">
      <c r="C37" s="2358"/>
      <c r="D37" s="2358"/>
      <c r="E37" s="2358"/>
      <c r="F37" s="2358"/>
      <c r="G37" s="2358"/>
      <c r="H37" s="2358"/>
      <c r="I37" s="2358"/>
      <c r="J37" s="1064"/>
    </row>
    <row r="38" spans="1:10" ht="7.5" customHeight="1" x14ac:dyDescent="0.2">
      <c r="C38" s="1063"/>
      <c r="D38" s="1065"/>
      <c r="E38" s="1066"/>
      <c r="F38" s="1067"/>
      <c r="G38" s="1066"/>
    </row>
    <row r="39" spans="1:10" ht="13.5" customHeight="1" x14ac:dyDescent="0.2">
      <c r="B39" s="1062"/>
      <c r="C39" s="2355" t="s">
        <v>937</v>
      </c>
      <c r="D39" s="2356"/>
      <c r="E39" s="2356"/>
      <c r="F39" s="2356"/>
      <c r="G39" s="2356"/>
      <c r="H39" s="2356"/>
      <c r="I39" s="2356"/>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B23" sqref="B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2114</v>
      </c>
    </row>
    <row r="6" spans="1:2" x14ac:dyDescent="0.2">
      <c r="A6" s="1069">
        <v>2</v>
      </c>
      <c r="B6" s="329" t="s">
        <v>2115</v>
      </c>
    </row>
    <row r="7" spans="1:2" x14ac:dyDescent="0.2">
      <c r="A7" s="1069">
        <v>3</v>
      </c>
      <c r="B7" s="329" t="s">
        <v>2116</v>
      </c>
    </row>
    <row r="8" spans="1:2" x14ac:dyDescent="0.2">
      <c r="A8" s="1069">
        <v>4</v>
      </c>
      <c r="B8" s="329" t="s">
        <v>2117</v>
      </c>
    </row>
    <row r="9" spans="1:2" x14ac:dyDescent="0.2">
      <c r="A9" s="1070">
        <v>5</v>
      </c>
      <c r="B9" s="329" t="s">
        <v>2118</v>
      </c>
    </row>
    <row r="10" spans="1:2" x14ac:dyDescent="0.2">
      <c r="A10" s="1070">
        <v>6</v>
      </c>
      <c r="B10" s="329" t="s">
        <v>2119</v>
      </c>
    </row>
    <row r="11" spans="1:2" x14ac:dyDescent="0.2">
      <c r="A11" s="1070">
        <v>7</v>
      </c>
      <c r="B11" s="329" t="s">
        <v>2120</v>
      </c>
    </row>
    <row r="12" spans="1:2" x14ac:dyDescent="0.2">
      <c r="A12" s="1070">
        <v>8</v>
      </c>
      <c r="B12" s="329" t="s">
        <v>2121</v>
      </c>
    </row>
    <row r="13" spans="1:2" x14ac:dyDescent="0.2">
      <c r="A13" s="1070">
        <v>9</v>
      </c>
      <c r="B13" s="329" t="s">
        <v>2122</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FREEPORT SCHOOL DISTRICT NO. 145</v>
      </c>
    </row>
    <row r="65" spans="2:2" x14ac:dyDescent="0.2">
      <c r="B65" s="1071" t="str">
        <f>COVER!A13</f>
        <v>08-089-1450-22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F23" sqref="F2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9" t="s">
        <v>1784</v>
      </c>
      <c r="B18" s="237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7889" r:id="rId4">
          <objectPr defaultSize="0" r:id="rId5">
            <anchor moveWithCells="1">
              <from>
                <xdr:col>1</xdr:col>
                <xdr:colOff>0</xdr:colOff>
                <xdr:row>2</xdr:row>
                <xdr:rowOff>0</xdr:rowOff>
              </from>
              <to>
                <xdr:col>1</xdr:col>
                <xdr:colOff>914400</xdr:colOff>
                <xdr:row>6</xdr:row>
                <xdr:rowOff>47625</xdr:rowOff>
              </to>
            </anchor>
          </objectPr>
        </oleObject>
      </mc:Choice>
      <mc:Fallback>
        <oleObject progId="Acrobat.Document.2015" dvAspect="DVASPECT_ICON" shapeId="37889" r:id="rId4"/>
      </mc:Fallback>
    </mc:AlternateContent>
    <mc:AlternateContent xmlns:mc="http://schemas.openxmlformats.org/markup-compatibility/2006">
      <mc:Choice Requires="x14">
        <oleObject progId="Acrobat.Document.2015" dvAspect="DVASPECT_ICON" shapeId="37890" r:id="rId6">
          <objectPr defaultSize="0" r:id="rId5">
            <anchor moveWithCells="1">
              <from>
                <xdr:col>1</xdr:col>
                <xdr:colOff>0</xdr:colOff>
                <xdr:row>7</xdr:row>
                <xdr:rowOff>0</xdr:rowOff>
              </from>
              <to>
                <xdr:col>1</xdr:col>
                <xdr:colOff>914400</xdr:colOff>
                <xdr:row>11</xdr:row>
                <xdr:rowOff>47625</xdr:rowOff>
              </to>
            </anchor>
          </objectPr>
        </oleObject>
      </mc:Choice>
      <mc:Fallback>
        <oleObject progId="Acrobat.Document.2015" dvAspect="DVASPECT_ICON" shapeId="37890" r:id="rId6"/>
      </mc:Fallback>
    </mc:AlternateContent>
    <mc:AlternateContent xmlns:mc="http://schemas.openxmlformats.org/markup-compatibility/2006">
      <mc:Choice Requires="x14">
        <oleObject progId="Acrobat.Document.2015" dvAspect="DVASPECT_ICON" shapeId="37891" r:id="rId7">
          <objectPr defaultSize="0" r:id="rId5">
            <anchor moveWithCells="1">
              <from>
                <xdr:col>2</xdr:col>
                <xdr:colOff>0</xdr:colOff>
                <xdr:row>1</xdr:row>
                <xdr:rowOff>0</xdr:rowOff>
              </from>
              <to>
                <xdr:col>3</xdr:col>
                <xdr:colOff>304800</xdr:colOff>
                <xdr:row>5</xdr:row>
                <xdr:rowOff>47625</xdr:rowOff>
              </to>
            </anchor>
          </objectPr>
        </oleObject>
      </mc:Choice>
      <mc:Fallback>
        <oleObject progId="Acrobat.Document.2015" dvAspect="DVASPECT_ICON" shapeId="37891"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topLeftCell="A4" zoomScale="110" zoomScaleNormal="110" workbookViewId="0">
      <selection activeCell="I7" sqref="I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0" t="s">
        <v>1790</v>
      </c>
      <c r="B1" s="2381"/>
      <c r="C1" s="2381"/>
      <c r="D1" s="2381"/>
      <c r="E1" s="2381"/>
      <c r="F1" s="2382"/>
    </row>
    <row r="2" spans="1:8" ht="45" customHeight="1" x14ac:dyDescent="0.2">
      <c r="A2" s="2390" t="s">
        <v>1791</v>
      </c>
      <c r="B2" s="2391"/>
      <c r="C2" s="2391"/>
      <c r="D2" s="2391"/>
      <c r="E2" s="2391"/>
      <c r="F2" s="2392"/>
      <c r="G2" s="1075"/>
      <c r="H2" s="1075"/>
    </row>
    <row r="3" spans="1:8" ht="57" customHeight="1" x14ac:dyDescent="0.2">
      <c r="A3" s="2393" t="s">
        <v>1786</v>
      </c>
      <c r="B3" s="2394"/>
      <c r="C3" s="2394"/>
      <c r="D3" s="2394"/>
      <c r="E3" s="2394"/>
      <c r="F3" s="2395"/>
      <c r="G3" s="1075"/>
      <c r="H3" s="1075"/>
    </row>
    <row r="4" spans="1:8" ht="14.25" customHeight="1" x14ac:dyDescent="0.2">
      <c r="A4" s="2399" t="s">
        <v>2054</v>
      </c>
      <c r="B4" s="2400"/>
      <c r="C4" s="2400"/>
      <c r="D4" s="2400"/>
      <c r="E4" s="2400"/>
      <c r="F4" s="2401"/>
      <c r="G4" s="1075"/>
      <c r="H4" s="1075"/>
    </row>
    <row r="5" spans="1:8" ht="14.25" customHeight="1" x14ac:dyDescent="0.2">
      <c r="A5" s="2402" t="s">
        <v>2055</v>
      </c>
      <c r="B5" s="2403"/>
      <c r="C5" s="2403"/>
      <c r="D5" s="2403"/>
      <c r="E5" s="2403"/>
      <c r="F5" s="2404"/>
      <c r="G5" s="1075"/>
      <c r="H5" s="1075"/>
    </row>
    <row r="6" spans="1:8" s="1076" customFormat="1" ht="41.25" customHeight="1" x14ac:dyDescent="0.2">
      <c r="A6" s="2396" t="s">
        <v>1792</v>
      </c>
      <c r="B6" s="2397"/>
      <c r="C6" s="2397"/>
      <c r="D6" s="2397"/>
      <c r="E6" s="2397"/>
      <c r="F6" s="2398"/>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40636022</v>
      </c>
      <c r="C8" s="1836">
        <f>'Acct Summary 7-8'!D8</f>
        <v>4298368</v>
      </c>
      <c r="D8" s="1836">
        <f>'Acct Summary 7-8'!F8</f>
        <v>3527651</v>
      </c>
      <c r="E8" s="1836">
        <f>'Acct Summary 7-8'!I8</f>
        <v>129388</v>
      </c>
      <c r="F8" s="1836">
        <f>SUM(B8:E8)</f>
        <v>48591429</v>
      </c>
    </row>
    <row r="9" spans="1:8" s="1080" customFormat="1" ht="14.25" customHeight="1" thickBot="1" x14ac:dyDescent="0.25">
      <c r="A9" s="1079" t="s">
        <v>1436</v>
      </c>
      <c r="B9" s="1837">
        <f>'Acct Summary 7-8'!C17</f>
        <v>40322330</v>
      </c>
      <c r="C9" s="1837">
        <f>'Acct Summary 7-8'!D17</f>
        <v>4076013</v>
      </c>
      <c r="D9" s="1837">
        <f>'Acct Summary 7-8'!F17</f>
        <v>3295895</v>
      </c>
      <c r="E9" s="1836"/>
      <c r="F9" s="1836">
        <f>SUM(B9:E9)</f>
        <v>47694238</v>
      </c>
    </row>
    <row r="10" spans="1:8" s="1080" customFormat="1" ht="14.25" thickTop="1" thickBot="1" x14ac:dyDescent="0.25">
      <c r="A10" s="1081" t="s">
        <v>1437</v>
      </c>
      <c r="B10" s="1838">
        <f>(B8-B9)</f>
        <v>313692</v>
      </c>
      <c r="C10" s="1838">
        <f>(C8-C9)</f>
        <v>222355</v>
      </c>
      <c r="D10" s="1838">
        <f>(D8-D9)</f>
        <v>231756</v>
      </c>
      <c r="E10" s="1837">
        <f>(E8-E9)</f>
        <v>129388</v>
      </c>
      <c r="F10" s="1839">
        <f>SUM(F8-F9)</f>
        <v>897191</v>
      </c>
    </row>
    <row r="11" spans="1:8" s="1080" customFormat="1" ht="14.25" thickTop="1" thickBot="1" x14ac:dyDescent="0.25">
      <c r="A11" s="1082" t="s">
        <v>1785</v>
      </c>
      <c r="B11" s="1840">
        <f>'Acct Summary 7-8'!C81</f>
        <v>5725615</v>
      </c>
      <c r="C11" s="1840">
        <f>'Acct Summary 7-8'!D81</f>
        <v>14666533</v>
      </c>
      <c r="D11" s="1840">
        <f>'Acct Summary 7-8'!F81</f>
        <v>4097064</v>
      </c>
      <c r="E11" s="1840">
        <f>'Acct Summary 7-8'!I81</f>
        <v>284525</v>
      </c>
      <c r="F11" s="1841">
        <f>SUM(B11:E11)</f>
        <v>24773737</v>
      </c>
    </row>
    <row r="12" spans="1:8" ht="16.5" customHeight="1" thickTop="1" x14ac:dyDescent="0.2">
      <c r="A12" s="1083"/>
      <c r="B12" s="1084"/>
      <c r="C12" s="2384" t="str">
        <f>IF(AND(F10&lt;0,F11&gt;=0,ABS(F10*3)&gt;ABS(F11)),A16,IF(AND(F10&lt;0,F11&gt;0,ABS(F10*3)&lt;=ABS(F11)),A17,IF(AND(F10&lt;0,F11&lt;0),A16,IF(F11=0,A19,A18))))</f>
        <v>Balanced - no deficit reduction plan is required.</v>
      </c>
      <c r="D12" s="2385"/>
      <c r="E12" s="2385"/>
      <c r="F12" s="2386"/>
    </row>
    <row r="13" spans="1:8" ht="19.5" customHeight="1" x14ac:dyDescent="0.2">
      <c r="A13" s="1085"/>
      <c r="B13" s="1086"/>
      <c r="C13" s="2384"/>
      <c r="D13" s="2385"/>
      <c r="E13" s="2385"/>
      <c r="F13" s="2386"/>
      <c r="H13" s="1075"/>
    </row>
    <row r="14" spans="1:8" ht="19.5" customHeight="1" x14ac:dyDescent="0.2">
      <c r="A14" s="1085"/>
      <c r="B14" s="1086"/>
      <c r="C14" s="2384"/>
      <c r="D14" s="2385"/>
      <c r="E14" s="2385"/>
      <c r="F14" s="2386"/>
      <c r="H14" s="1075"/>
    </row>
    <row r="15" spans="1:8" ht="17.25" customHeight="1" x14ac:dyDescent="0.2">
      <c r="A15" s="1085"/>
      <c r="B15" s="1086"/>
      <c r="C15" s="2387"/>
      <c r="D15" s="2388"/>
      <c r="E15" s="2388"/>
      <c r="F15" s="2389"/>
      <c r="H15" s="1075"/>
    </row>
    <row r="16" spans="1:8" s="310" customFormat="1" ht="51.75" hidden="1" customHeight="1" x14ac:dyDescent="0.2">
      <c r="A16" s="2383" t="s">
        <v>1787</v>
      </c>
      <c r="B16" s="2383"/>
      <c r="C16" s="2383"/>
      <c r="D16" s="2383"/>
      <c r="E16" s="2383"/>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C82" sqref="C82"/>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405" t="s">
        <v>686</v>
      </c>
      <c r="B3" s="2406"/>
      <c r="C3" s="2406"/>
      <c r="D3" s="2407"/>
    </row>
    <row r="4" spans="1:4" x14ac:dyDescent="0.2">
      <c r="A4" s="1153" t="s">
        <v>1793</v>
      </c>
      <c r="B4" s="1154"/>
      <c r="C4" s="1155"/>
      <c r="D4" s="1156"/>
    </row>
    <row r="5" spans="1:4" ht="21" customHeight="1" x14ac:dyDescent="0.2">
      <c r="A5" s="1149"/>
      <c r="B5" s="1150">
        <v>1</v>
      </c>
      <c r="C5" s="1151" t="s">
        <v>1944</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6" t="s">
        <v>1584</v>
      </c>
      <c r="D7" s="2417"/>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8" t="s">
        <v>1065</v>
      </c>
      <c r="B15" s="2409"/>
      <c r="C15" s="2409"/>
      <c r="D15" s="2410"/>
    </row>
    <row r="16" spans="1:4" s="669" customFormat="1" ht="24" customHeight="1" x14ac:dyDescent="0.2">
      <c r="A16" s="2411" t="s">
        <v>684</v>
      </c>
      <c r="B16" s="2412"/>
      <c r="C16" s="2412"/>
      <c r="D16" s="2413"/>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0" t="s">
        <v>332</v>
      </c>
      <c r="D21" s="2421"/>
    </row>
    <row r="22" spans="1:10" ht="12.75" x14ac:dyDescent="0.2">
      <c r="A22" s="1140"/>
      <c r="B22" s="1141">
        <v>2</v>
      </c>
      <c r="C22" s="2418" t="s">
        <v>1605</v>
      </c>
      <c r="D22" s="2419"/>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2" t="s">
        <v>557</v>
      </c>
      <c r="D43" s="2423"/>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14" t="s">
        <v>817</v>
      </c>
      <c r="D56" s="2415"/>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414" t="s">
        <v>1797</v>
      </c>
      <c r="D70" s="2415"/>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2017</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08-089-1450-22</v>
      </c>
    </row>
    <row r="3" spans="1:2" x14ac:dyDescent="0.2">
      <c r="A3" t="s">
        <v>1013</v>
      </c>
      <c r="B3" s="138" t="str">
        <f>COVER!A15</f>
        <v>STEPHENSON</v>
      </c>
    </row>
    <row r="4" spans="1:2" x14ac:dyDescent="0.2">
      <c r="A4" t="s">
        <v>1064</v>
      </c>
      <c r="B4" s="138" t="str">
        <f>COVER!A17</f>
        <v>FREEPORT SCHOOL DISTRICT NO. 145</v>
      </c>
    </row>
    <row r="5" spans="1:2" x14ac:dyDescent="0.2">
      <c r="A5" t="s">
        <v>728</v>
      </c>
      <c r="B5" s="138" t="str">
        <f>COVER!A38</f>
        <v>MIKE SCHIFFMAN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J. SCHUELER</v>
      </c>
    </row>
    <row r="18" spans="1:2" x14ac:dyDescent="0.2">
      <c r="A18" t="s">
        <v>1212</v>
      </c>
      <c r="B18" s="138" t="str">
        <f>COVER!T17</f>
        <v>4949 Harrison Avenue</v>
      </c>
    </row>
    <row r="19" spans="1:2" x14ac:dyDescent="0.2">
      <c r="A19" t="s">
        <v>941</v>
      </c>
      <c r="B19" s="138" t="str">
        <f>COVER!T25</f>
        <v>mschueler@wipfli.com</v>
      </c>
    </row>
    <row r="20" spans="1:2" x14ac:dyDescent="0.2">
      <c r="A20" t="s">
        <v>942</v>
      </c>
      <c r="B20" s="138" t="str">
        <f>COVER!T19</f>
        <v>Rockford</v>
      </c>
    </row>
    <row r="21" spans="1:2" x14ac:dyDescent="0.2">
      <c r="A21" t="s">
        <v>500</v>
      </c>
      <c r="B21" s="138" t="str">
        <f>COVER!X19</f>
        <v>IL</v>
      </c>
    </row>
    <row r="22" spans="1:2" x14ac:dyDescent="0.2">
      <c r="A22" t="s">
        <v>943</v>
      </c>
      <c r="B22" s="138">
        <f>COVER!Z19</f>
        <v>61125</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35521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12139406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15000</v>
      </c>
      <c r="D72" s="2" t="str">
        <f t="shared" si="0"/>
        <v>Error?</v>
      </c>
    </row>
    <row r="73" spans="1:4" x14ac:dyDescent="0.2">
      <c r="A73" s="5">
        <v>12</v>
      </c>
      <c r="B73" s="138">
        <f>'Assets-Liab 5-6'!C5</f>
        <v>2309465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6224</v>
      </c>
      <c r="D76" s="2" t="str">
        <f t="shared" si="0"/>
        <v>Error?</v>
      </c>
    </row>
    <row r="77" spans="1:4" x14ac:dyDescent="0.2">
      <c r="A77" s="5">
        <v>16</v>
      </c>
      <c r="B77" s="138">
        <f>'Assets-Liab 5-6'!C13</f>
        <v>17999910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642179</v>
      </c>
      <c r="D86" s="2" t="str">
        <f t="shared" si="0"/>
        <v>Error?</v>
      </c>
    </row>
    <row r="87" spans="1:4" x14ac:dyDescent="0.2">
      <c r="A87" s="10">
        <v>26</v>
      </c>
      <c r="D87" s="2" t="str">
        <f t="shared" si="0"/>
        <v>OK</v>
      </c>
    </row>
    <row r="88" spans="1:4" x14ac:dyDescent="0.2">
      <c r="A88" s="5">
        <v>27</v>
      </c>
      <c r="B88" s="138">
        <f>'Assets-Liab 5-6'!C32</f>
        <v>6931286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12274295</v>
      </c>
      <c r="C91" s="2" t="s">
        <v>594</v>
      </c>
      <c r="D91" s="2" t="str">
        <f t="shared" si="0"/>
        <v>Error?</v>
      </c>
    </row>
    <row r="92" spans="1:4" x14ac:dyDescent="0.2">
      <c r="A92" s="5">
        <v>31</v>
      </c>
      <c r="B92" s="138">
        <f>'Assets-Liab 5-6'!C39</f>
        <v>5725615</v>
      </c>
      <c r="D92" s="2" t="str">
        <f t="shared" si="0"/>
        <v>Error?</v>
      </c>
    </row>
    <row r="93" spans="1:4" x14ac:dyDescent="0.2">
      <c r="A93" s="5">
        <v>32</v>
      </c>
      <c r="B93" s="138">
        <f>'Assets-Liab 5-6'!C41</f>
        <v>17999910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1903326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1273664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15916076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1094112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1249543</v>
      </c>
      <c r="C122" s="2" t="s">
        <v>594</v>
      </c>
      <c r="D122" s="2" t="str">
        <f t="shared" si="0"/>
        <v>Error?</v>
      </c>
    </row>
    <row r="123" spans="1:4" x14ac:dyDescent="0.2">
      <c r="A123" s="5">
        <v>62</v>
      </c>
      <c r="B123" s="138">
        <f>'Assets-Liab 5-6'!D39</f>
        <v>14666533</v>
      </c>
      <c r="D123" s="2" t="str">
        <f t="shared" si="0"/>
        <v>Error?</v>
      </c>
    </row>
    <row r="124" spans="1:4" x14ac:dyDescent="0.2">
      <c r="A124" s="5">
        <v>63</v>
      </c>
      <c r="B124" s="138">
        <f>'Assets-Liab 5-6'!D41</f>
        <v>15916076</v>
      </c>
      <c r="C124" s="2" t="s">
        <v>594</v>
      </c>
      <c r="D124" s="2" t="str">
        <f t="shared" si="0"/>
        <v>Error?</v>
      </c>
    </row>
    <row r="125" spans="1:4" x14ac:dyDescent="0.2">
      <c r="A125" s="10">
        <v>64</v>
      </c>
      <c r="D125" s="2" t="str">
        <f t="shared" si="0"/>
        <v>OK</v>
      </c>
    </row>
    <row r="126" spans="1:4" x14ac:dyDescent="0.2">
      <c r="A126" s="5">
        <v>65</v>
      </c>
      <c r="B126" s="138">
        <f>'Assets-Liab 5-6'!E6</f>
        <v>2270311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3589881</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1305071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1305071</v>
      </c>
      <c r="C139" s="2" t="s">
        <v>594</v>
      </c>
      <c r="D139" s="2" t="str">
        <f t="shared" si="1"/>
        <v>Error?</v>
      </c>
    </row>
    <row r="140" spans="1:4" x14ac:dyDescent="0.2">
      <c r="A140" s="5">
        <v>79</v>
      </c>
      <c r="B140" s="138">
        <f>'Assets-Liab 5-6'!E39</f>
        <v>2284810</v>
      </c>
      <c r="D140" s="2" t="str">
        <f t="shared" si="1"/>
        <v>Error?</v>
      </c>
    </row>
    <row r="141" spans="1:4" x14ac:dyDescent="0.2">
      <c r="A141" s="5">
        <v>80</v>
      </c>
      <c r="B141" s="138">
        <f>'Assets-Liab 5-6'!E41</f>
        <v>3589881</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1478680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1558990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5092850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362</v>
      </c>
      <c r="D164" s="2" t="str">
        <f t="shared" si="1"/>
        <v>Error?</v>
      </c>
    </row>
    <row r="165" spans="1:4" x14ac:dyDescent="0.2">
      <c r="A165" s="10">
        <v>104</v>
      </c>
      <c r="D165" s="2" t="str">
        <f t="shared" si="1"/>
        <v>OK</v>
      </c>
    </row>
    <row r="166" spans="1:4" x14ac:dyDescent="0.2">
      <c r="A166" s="5">
        <v>105</v>
      </c>
      <c r="B166" s="138">
        <f>'Assets-Liab 5-6'!F32</f>
        <v>850008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995786</v>
      </c>
      <c r="C169" s="2" t="s">
        <v>594</v>
      </c>
      <c r="D169" s="2" t="str">
        <f t="shared" si="1"/>
        <v>Error?</v>
      </c>
    </row>
    <row r="170" spans="1:4" x14ac:dyDescent="0.2">
      <c r="A170" s="5">
        <v>109</v>
      </c>
      <c r="B170" s="138">
        <f>'Assets-Liab 5-6'!F39</f>
        <v>4097064</v>
      </c>
      <c r="D170" s="2" t="str">
        <f t="shared" si="1"/>
        <v>Error?</v>
      </c>
    </row>
    <row r="171" spans="1:4" x14ac:dyDescent="0.2">
      <c r="A171" s="5">
        <v>110</v>
      </c>
      <c r="B171" s="138">
        <f>'Assets-Liab 5-6'!F41</f>
        <v>5092850</v>
      </c>
      <c r="C171" s="2" t="s">
        <v>594</v>
      </c>
      <c r="D171" s="2" t="str">
        <f t="shared" si="1"/>
        <v>Error?</v>
      </c>
    </row>
    <row r="172" spans="1:4" x14ac:dyDescent="0.2">
      <c r="A172" s="10">
        <v>111</v>
      </c>
      <c r="D172" s="2" t="str">
        <f t="shared" si="1"/>
        <v>OK</v>
      </c>
    </row>
    <row r="173" spans="1:4" x14ac:dyDescent="0.2">
      <c r="A173" s="5">
        <v>112</v>
      </c>
      <c r="B173" s="138">
        <f>'Assets-Liab 5-6'!G6</f>
        <v>1504771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3127710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865005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942991</v>
      </c>
      <c r="C188" s="2" t="s">
        <v>594</v>
      </c>
      <c r="D188" s="2" t="str">
        <f t="shared" si="1"/>
        <v>Error?</v>
      </c>
    </row>
    <row r="189" spans="1:4" x14ac:dyDescent="0.2">
      <c r="A189" s="5">
        <v>128</v>
      </c>
      <c r="B189" s="138">
        <f>'Assets-Liab 5-6'!G39</f>
        <v>1353750</v>
      </c>
      <c r="D189" s="2" t="str">
        <f t="shared" si="1"/>
        <v>Error?</v>
      </c>
    </row>
    <row r="190" spans="1:4" x14ac:dyDescent="0.2">
      <c r="A190" s="5">
        <v>129</v>
      </c>
      <c r="B190" s="138">
        <f>'Assets-Liab 5-6'!G41</f>
        <v>3127710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822541</v>
      </c>
      <c r="D273" s="2" t="str">
        <f t="shared" si="3"/>
        <v>Error?</v>
      </c>
    </row>
    <row r="274" spans="1:4" x14ac:dyDescent="0.2">
      <c r="A274" s="5">
        <v>213</v>
      </c>
      <c r="B274" s="138">
        <f>'Assets-Liab 5-6'!M17</f>
        <v>47057537</v>
      </c>
      <c r="D274" s="2" t="str">
        <f t="shared" si="3"/>
        <v>Error?</v>
      </c>
    </row>
    <row r="275" spans="1:4" x14ac:dyDescent="0.2">
      <c r="A275" s="5">
        <v>214</v>
      </c>
      <c r="B275" s="138">
        <f>'Assets-Liab 5-6'!M18</f>
        <v>2131047</v>
      </c>
      <c r="D275" s="2" t="str">
        <f t="shared" si="3"/>
        <v>Error?</v>
      </c>
    </row>
    <row r="276" spans="1:4" x14ac:dyDescent="0.2">
      <c r="A276" s="5">
        <v>215</v>
      </c>
      <c r="B276" s="138">
        <f>'Assets-Liab 5-6'!M19</f>
        <v>4728211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54739336</v>
      </c>
      <c r="C279" s="2" t="s">
        <v>594</v>
      </c>
      <c r="D279" s="2" t="str">
        <f t="shared" si="3"/>
        <v>Error?</v>
      </c>
    </row>
    <row r="280" spans="1:4" x14ac:dyDescent="0.2">
      <c r="A280" s="5">
        <v>219</v>
      </c>
      <c r="B280" s="138">
        <f>'Assets-Liab 5-6'!M40</f>
        <v>54739336</v>
      </c>
      <c r="D280" s="2" t="str">
        <f t="shared" si="3"/>
        <v>Error?</v>
      </c>
    </row>
    <row r="281" spans="1:4" x14ac:dyDescent="0.2">
      <c r="A281" s="5">
        <v>220</v>
      </c>
      <c r="B281" s="138">
        <f>'Assets-Liab 5-6'!M41</f>
        <v>54739336</v>
      </c>
      <c r="C281" s="2" t="s">
        <v>594</v>
      </c>
      <c r="D281" s="2" t="str">
        <f t="shared" si="3"/>
        <v>Error?</v>
      </c>
    </row>
    <row r="282" spans="1:4" x14ac:dyDescent="0.2">
      <c r="A282" s="5">
        <v>221</v>
      </c>
      <c r="B282" s="138">
        <f>'Assets-Liab 5-6'!N21</f>
        <v>2284810</v>
      </c>
      <c r="D282" s="2" t="str">
        <f t="shared" si="3"/>
        <v>Error?</v>
      </c>
    </row>
    <row r="283" spans="1:4" x14ac:dyDescent="0.2">
      <c r="A283" s="5">
        <v>222</v>
      </c>
      <c r="B283" s="138">
        <f>'Assets-Liab 5-6'!N22</f>
        <v>26524193</v>
      </c>
      <c r="D283" s="2" t="str">
        <f t="shared" si="3"/>
        <v>Error?</v>
      </c>
    </row>
    <row r="284" spans="1:4" x14ac:dyDescent="0.2">
      <c r="A284" s="5">
        <v>223</v>
      </c>
      <c r="B284" s="138">
        <f>'Assets-Liab 5-6'!N23</f>
        <v>28809003</v>
      </c>
      <c r="C284" s="2" t="s">
        <v>594</v>
      </c>
      <c r="D284" s="2" t="str">
        <f t="shared" si="3"/>
        <v>Error?</v>
      </c>
    </row>
    <row r="285" spans="1:4" x14ac:dyDescent="0.2">
      <c r="A285" s="5">
        <v>224</v>
      </c>
      <c r="B285" s="138">
        <f>'Assets-Liab 5-6'!N36</f>
        <v>28809003</v>
      </c>
      <c r="D285" s="2" t="str">
        <f t="shared" si="3"/>
        <v>Error?</v>
      </c>
    </row>
    <row r="286" spans="1:4" x14ac:dyDescent="0.2">
      <c r="A286" s="10">
        <v>225</v>
      </c>
      <c r="D286" s="2" t="str">
        <f t="shared" si="3"/>
        <v>OK</v>
      </c>
    </row>
    <row r="287" spans="1:4" x14ac:dyDescent="0.2">
      <c r="A287" s="5">
        <v>226</v>
      </c>
      <c r="B287" s="138">
        <f>'Assets-Liab 5-6'!N37</f>
        <v>28809003</v>
      </c>
      <c r="C287" s="2" t="s">
        <v>594</v>
      </c>
      <c r="D287" s="2" t="str">
        <f t="shared" si="3"/>
        <v>Error?</v>
      </c>
    </row>
    <row r="288" spans="1:4" x14ac:dyDescent="0.2">
      <c r="A288" s="5">
        <v>227</v>
      </c>
      <c r="B288" s="138">
        <f>'Assets-Liab 5-6'!N41</f>
        <v>28809003</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17810000</v>
      </c>
      <c r="D651" s="2" t="str">
        <f t="shared" si="9"/>
        <v>Error?</v>
      </c>
    </row>
    <row r="652" spans="1:4" x14ac:dyDescent="0.2">
      <c r="A652" s="5">
        <v>591</v>
      </c>
      <c r="B652" s="138">
        <f>'Acct Summary 7-8'!I34</f>
        <v>1021626</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11146369</v>
      </c>
      <c r="D705" s="2" t="str">
        <f t="shared" si="10"/>
        <v>Error?</v>
      </c>
    </row>
    <row r="706" spans="1:4" x14ac:dyDescent="0.2">
      <c r="A706" s="5">
        <v>645</v>
      </c>
      <c r="B706" s="138">
        <f>'Expenditures 15-22'!C16</f>
        <v>390865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345068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444748</v>
      </c>
      <c r="D717" s="2" t="str">
        <f t="shared" si="10"/>
        <v>Error?</v>
      </c>
    </row>
    <row r="718" spans="1:4" x14ac:dyDescent="0.2">
      <c r="A718" s="5">
        <v>657</v>
      </c>
      <c r="B718" s="138">
        <f>'Expenditures 15-22'!C14</f>
        <v>453061</v>
      </c>
      <c r="D718" s="2" t="str">
        <f t="shared" si="10"/>
        <v>Error?</v>
      </c>
    </row>
    <row r="719" spans="1:4" x14ac:dyDescent="0.2">
      <c r="A719" s="5">
        <v>658</v>
      </c>
      <c r="B719" s="138">
        <f>'Expenditures 15-22'!C15</f>
        <v>103075</v>
      </c>
      <c r="D719" s="2" t="str">
        <f t="shared" si="10"/>
        <v>Error?</v>
      </c>
    </row>
    <row r="720" spans="1:4" x14ac:dyDescent="0.2">
      <c r="A720" s="5">
        <v>659</v>
      </c>
      <c r="B720" s="138">
        <f>'Expenditures 15-22'!C33</f>
        <v>17041454</v>
      </c>
      <c r="C720" s="2" t="s">
        <v>594</v>
      </c>
      <c r="D720" s="2" t="str">
        <f t="shared" si="10"/>
        <v>Error?</v>
      </c>
    </row>
    <row r="721" spans="1:4" x14ac:dyDescent="0.2">
      <c r="A721" s="5">
        <v>660</v>
      </c>
      <c r="B721" s="138">
        <f>'Expenditures 15-22'!C36</f>
        <v>814442</v>
      </c>
      <c r="D721" s="2" t="str">
        <f t="shared" si="10"/>
        <v>Error?</v>
      </c>
    </row>
    <row r="722" spans="1:4" x14ac:dyDescent="0.2">
      <c r="A722" s="5">
        <v>661</v>
      </c>
      <c r="B722" s="138">
        <f>'Expenditures 15-22'!C37</f>
        <v>698203</v>
      </c>
      <c r="D722" s="2" t="str">
        <f t="shared" si="10"/>
        <v>Error?</v>
      </c>
    </row>
    <row r="723" spans="1:4" x14ac:dyDescent="0.2">
      <c r="A723" s="5">
        <v>662</v>
      </c>
      <c r="B723" s="138">
        <f>'Expenditures 15-22'!C38</f>
        <v>514962</v>
      </c>
      <c r="D723" s="2" t="str">
        <f t="shared" si="10"/>
        <v>Error?</v>
      </c>
    </row>
    <row r="724" spans="1:4" x14ac:dyDescent="0.2">
      <c r="A724" s="5">
        <v>663</v>
      </c>
      <c r="B724" s="138">
        <f>'Expenditures 15-22'!C39</f>
        <v>245348</v>
      </c>
      <c r="D724" s="2" t="str">
        <f t="shared" si="10"/>
        <v>Error?</v>
      </c>
    </row>
    <row r="725" spans="1:4" x14ac:dyDescent="0.2">
      <c r="A725" s="5">
        <v>664</v>
      </c>
      <c r="B725" s="138">
        <f>'Expenditures 15-22'!C40</f>
        <v>388841</v>
      </c>
      <c r="D725" s="2" t="str">
        <f t="shared" si="10"/>
        <v>Error?</v>
      </c>
    </row>
    <row r="726" spans="1:4" x14ac:dyDescent="0.2">
      <c r="A726" s="5">
        <v>665</v>
      </c>
      <c r="B726" s="138">
        <f>'Expenditures 15-22'!C41</f>
        <v>137900</v>
      </c>
      <c r="D726" s="2" t="str">
        <f t="shared" si="10"/>
        <v>Error?</v>
      </c>
    </row>
    <row r="727" spans="1:4" x14ac:dyDescent="0.2">
      <c r="A727" s="5">
        <v>666</v>
      </c>
      <c r="B727" s="138">
        <f>'Expenditures 15-22'!C42</f>
        <v>2799696</v>
      </c>
      <c r="C727" s="2" t="s">
        <v>594</v>
      </c>
      <c r="D727" s="2" t="str">
        <f t="shared" si="10"/>
        <v>Error?</v>
      </c>
    </row>
    <row r="728" spans="1:4" x14ac:dyDescent="0.2">
      <c r="A728" s="5">
        <v>667</v>
      </c>
      <c r="B728" s="138">
        <f>'Expenditures 15-22'!C44</f>
        <v>1238669</v>
      </c>
      <c r="D728" s="2" t="str">
        <f t="shared" si="10"/>
        <v>Error?</v>
      </c>
    </row>
    <row r="729" spans="1:4" x14ac:dyDescent="0.2">
      <c r="A729" s="5">
        <v>668</v>
      </c>
      <c r="B729" s="138">
        <f>'Expenditures 15-22'!C45</f>
        <v>655337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1894006</v>
      </c>
      <c r="C731" s="2" t="s">
        <v>594</v>
      </c>
      <c r="D731" s="2" t="str">
        <f t="shared" si="10"/>
        <v>Error?</v>
      </c>
    </row>
    <row r="732" spans="1:4" x14ac:dyDescent="0.2">
      <c r="A732" s="5">
        <v>671</v>
      </c>
      <c r="B732" s="138">
        <f>'Expenditures 15-22'!C49</f>
        <v>3600</v>
      </c>
      <c r="D732" s="2" t="str">
        <f t="shared" si="10"/>
        <v>Error?</v>
      </c>
    </row>
    <row r="733" spans="1:4" x14ac:dyDescent="0.2">
      <c r="A733" s="5">
        <v>672</v>
      </c>
      <c r="B733" s="138">
        <f>'Expenditures 15-22'!C50</f>
        <v>214817</v>
      </c>
      <c r="D733" s="2" t="str">
        <f t="shared" si="10"/>
        <v>Error?</v>
      </c>
    </row>
    <row r="734" spans="1:4" x14ac:dyDescent="0.2">
      <c r="A734" s="5">
        <v>673</v>
      </c>
      <c r="B734" s="138">
        <f>'Expenditures 15-22'!C53</f>
        <v>510761</v>
      </c>
      <c r="C734" s="2" t="s">
        <v>594</v>
      </c>
      <c r="D734" s="2" t="str">
        <f t="shared" si="10"/>
        <v>Error?</v>
      </c>
    </row>
    <row r="735" spans="1:4" x14ac:dyDescent="0.2">
      <c r="A735" s="5">
        <v>674</v>
      </c>
      <c r="B735" s="138">
        <f>'Expenditures 15-22'!C55</f>
        <v>1774631</v>
      </c>
      <c r="D735" s="2" t="str">
        <f t="shared" si="10"/>
        <v>Error?</v>
      </c>
    </row>
    <row r="736" spans="1:4" x14ac:dyDescent="0.2">
      <c r="A736" s="5">
        <v>675</v>
      </c>
      <c r="B736" s="138">
        <f>'Expenditures 15-22'!C56</f>
        <v>437669</v>
      </c>
      <c r="D736" s="2" t="str">
        <f t="shared" si="10"/>
        <v>Error?</v>
      </c>
    </row>
    <row r="737" spans="1:4" x14ac:dyDescent="0.2">
      <c r="A737" s="5">
        <v>676</v>
      </c>
      <c r="B737" s="138">
        <f>'Expenditures 15-22'!C57</f>
        <v>2212300</v>
      </c>
      <c r="C737" s="2" t="s">
        <v>594</v>
      </c>
      <c r="D737" s="2" t="str">
        <f t="shared" si="10"/>
        <v>Error?</v>
      </c>
    </row>
    <row r="738" spans="1:4" x14ac:dyDescent="0.2">
      <c r="A738" s="5">
        <v>677</v>
      </c>
      <c r="B738" s="138">
        <f>'Expenditures 15-22'!C59</f>
        <v>169397</v>
      </c>
      <c r="D738" s="2" t="str">
        <f t="shared" si="10"/>
        <v>Error?</v>
      </c>
    </row>
    <row r="739" spans="1:4" x14ac:dyDescent="0.2">
      <c r="A739" s="5">
        <v>678</v>
      </c>
      <c r="B739" s="138">
        <f>'Expenditures 15-22'!C60</f>
        <v>142994</v>
      </c>
      <c r="D739" s="2" t="str">
        <f t="shared" si="10"/>
        <v>Error?</v>
      </c>
    </row>
    <row r="740" spans="1:4" x14ac:dyDescent="0.2">
      <c r="A740" s="5">
        <v>679</v>
      </c>
      <c r="B740" s="138">
        <f>'Expenditures 15-22'!C61</f>
        <v>14280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644202</v>
      </c>
      <c r="D742" s="2" t="str">
        <f t="shared" si="10"/>
        <v>Error?</v>
      </c>
    </row>
    <row r="743" spans="1:4" x14ac:dyDescent="0.2">
      <c r="A743" s="5">
        <v>682</v>
      </c>
      <c r="B743" s="138">
        <f>'Expenditures 15-22'!C64</f>
        <v>78651</v>
      </c>
      <c r="D743" s="2" t="str">
        <f t="shared" si="10"/>
        <v>Error?</v>
      </c>
    </row>
    <row r="744" spans="1:4" x14ac:dyDescent="0.2">
      <c r="A744" s="10">
        <v>683</v>
      </c>
      <c r="D744" s="2" t="str">
        <f t="shared" si="10"/>
        <v>OK</v>
      </c>
    </row>
    <row r="745" spans="1:4" x14ac:dyDescent="0.2">
      <c r="A745" s="5">
        <v>684</v>
      </c>
      <c r="B745" s="138">
        <f>'Expenditures 15-22'!C65</f>
        <v>1049524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701</v>
      </c>
      <c r="D747" s="2" t="str">
        <f t="shared" si="10"/>
        <v>Error?</v>
      </c>
    </row>
    <row r="748" spans="1:4" x14ac:dyDescent="0.2">
      <c r="A748" s="5">
        <v>687</v>
      </c>
      <c r="B748" s="138">
        <f>'Expenditures 15-22'!C69</f>
        <v>69455</v>
      </c>
      <c r="D748" s="2" t="str">
        <f t="shared" si="10"/>
        <v>Error?</v>
      </c>
    </row>
    <row r="749" spans="1:4" x14ac:dyDescent="0.2">
      <c r="A749" s="5">
        <v>688</v>
      </c>
      <c r="B749" s="138">
        <f>'Expenditures 15-22'!C70</f>
        <v>225222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295378</v>
      </c>
      <c r="C753" s="2" t="s">
        <v>594</v>
      </c>
      <c r="D753" s="2" t="str">
        <f t="shared" si="10"/>
        <v>Error?</v>
      </c>
    </row>
    <row r="754" spans="1:4" x14ac:dyDescent="0.2">
      <c r="A754" s="5">
        <v>693</v>
      </c>
      <c r="B754" s="138">
        <f>'Expenditures 15-22'!C73</f>
        <v>133859</v>
      </c>
      <c r="D754" s="2" t="str">
        <f t="shared" si="10"/>
        <v>Error?</v>
      </c>
    </row>
    <row r="755" spans="1:4" x14ac:dyDescent="0.2">
      <c r="A755" s="5">
        <v>694</v>
      </c>
      <c r="B755" s="138">
        <f>'Expenditures 15-22'!C74</f>
        <v>8895524</v>
      </c>
      <c r="C755" s="2" t="s">
        <v>594</v>
      </c>
      <c r="D755" s="2" t="str">
        <f t="shared" si="10"/>
        <v>Error?</v>
      </c>
    </row>
    <row r="756" spans="1:4" x14ac:dyDescent="0.2">
      <c r="A756" s="5">
        <v>695</v>
      </c>
      <c r="B756" s="138">
        <f>'Expenditures 15-22'!C75</f>
        <v>32760</v>
      </c>
      <c r="D756" s="2" t="str">
        <f t="shared" si="10"/>
        <v>Error?</v>
      </c>
    </row>
    <row r="757" spans="1:4" x14ac:dyDescent="0.2">
      <c r="A757" s="5">
        <v>696</v>
      </c>
      <c r="B757" s="138">
        <f>'Expenditures 15-22'!C114</f>
        <v>25969738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2724424</v>
      </c>
      <c r="D763" s="2" t="str">
        <f t="shared" si="10"/>
        <v>Error?</v>
      </c>
    </row>
    <row r="764" spans="1:4" x14ac:dyDescent="0.2">
      <c r="A764" s="5">
        <v>703</v>
      </c>
      <c r="B764" s="138">
        <f>'Expenditures 15-22'!D16</f>
        <v>93356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80967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126169</v>
      </c>
      <c r="D775" s="2" t="str">
        <f t="shared" si="11"/>
        <v>Error?</v>
      </c>
    </row>
    <row r="776" spans="1:4" x14ac:dyDescent="0.2">
      <c r="A776" s="5">
        <v>715</v>
      </c>
      <c r="B776" s="138">
        <f>'Expenditures 15-22'!D14</f>
        <v>33739</v>
      </c>
      <c r="D776" s="2" t="str">
        <f t="shared" si="11"/>
        <v>Error?</v>
      </c>
    </row>
    <row r="777" spans="1:4" x14ac:dyDescent="0.2">
      <c r="A777" s="5">
        <v>716</v>
      </c>
      <c r="B777" s="138">
        <f>'Expenditures 15-22'!D15</f>
        <v>10470</v>
      </c>
      <c r="D777" s="2" t="str">
        <f t="shared" si="11"/>
        <v>Error?</v>
      </c>
    </row>
    <row r="778" spans="1:4" x14ac:dyDescent="0.2">
      <c r="A778" s="5">
        <v>717</v>
      </c>
      <c r="B778" s="138">
        <f>'Expenditures 15-22'!D33</f>
        <v>4114669</v>
      </c>
      <c r="C778" s="2" t="s">
        <v>594</v>
      </c>
      <c r="D778" s="2" t="str">
        <f t="shared" si="11"/>
        <v>Error?</v>
      </c>
    </row>
    <row r="779" spans="1:4" x14ac:dyDescent="0.2">
      <c r="A779" s="5">
        <v>718</v>
      </c>
      <c r="B779" s="138">
        <f>'Expenditures 15-22'!D36</f>
        <v>250231</v>
      </c>
      <c r="D779" s="2" t="str">
        <f t="shared" si="11"/>
        <v>Error?</v>
      </c>
    </row>
    <row r="780" spans="1:4" x14ac:dyDescent="0.2">
      <c r="A780" s="5">
        <v>719</v>
      </c>
      <c r="B780" s="138">
        <f>'Expenditures 15-22'!D37</f>
        <v>183119</v>
      </c>
      <c r="D780" s="2" t="str">
        <f t="shared" si="11"/>
        <v>Error?</v>
      </c>
    </row>
    <row r="781" spans="1:4" x14ac:dyDescent="0.2">
      <c r="A781" s="5">
        <v>720</v>
      </c>
      <c r="B781" s="138">
        <f>'Expenditures 15-22'!D38</f>
        <v>118006</v>
      </c>
      <c r="D781" s="2" t="str">
        <f t="shared" si="11"/>
        <v>Error?</v>
      </c>
    </row>
    <row r="782" spans="1:4" x14ac:dyDescent="0.2">
      <c r="A782" s="5">
        <v>721</v>
      </c>
      <c r="B782" s="138">
        <f>'Expenditures 15-22'!D39</f>
        <v>42667</v>
      </c>
      <c r="D782" s="2" t="str">
        <f t="shared" si="11"/>
        <v>Error?</v>
      </c>
    </row>
    <row r="783" spans="1:4" x14ac:dyDescent="0.2">
      <c r="A783" s="5">
        <v>722</v>
      </c>
      <c r="B783" s="138">
        <f>'Expenditures 15-22'!D40</f>
        <v>102674</v>
      </c>
      <c r="D783" s="2" t="str">
        <f t="shared" si="11"/>
        <v>Error?</v>
      </c>
    </row>
    <row r="784" spans="1:4" x14ac:dyDescent="0.2">
      <c r="A784" s="5">
        <v>723</v>
      </c>
      <c r="B784" s="138">
        <f>'Expenditures 15-22'!D41</f>
        <v>27656</v>
      </c>
      <c r="D784" s="2" t="str">
        <f t="shared" si="11"/>
        <v>Error?</v>
      </c>
    </row>
    <row r="785" spans="1:4" x14ac:dyDescent="0.2">
      <c r="A785" s="5">
        <v>724</v>
      </c>
      <c r="B785" s="138">
        <f>'Expenditures 15-22'!D42</f>
        <v>724353</v>
      </c>
      <c r="C785" s="2" t="s">
        <v>594</v>
      </c>
      <c r="D785" s="2" t="str">
        <f t="shared" si="11"/>
        <v>Error?</v>
      </c>
    </row>
    <row r="786" spans="1:4" x14ac:dyDescent="0.2">
      <c r="A786" s="5">
        <v>725</v>
      </c>
      <c r="B786" s="138">
        <f>'Expenditures 15-22'!D44</f>
        <v>418083</v>
      </c>
      <c r="D786" s="2" t="str">
        <f t="shared" si="11"/>
        <v>Error?</v>
      </c>
    </row>
    <row r="787" spans="1:4" x14ac:dyDescent="0.2">
      <c r="A787" s="5">
        <v>726</v>
      </c>
      <c r="B787" s="138">
        <f>'Expenditures 15-22'!D45</f>
        <v>120114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538197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52237</v>
      </c>
      <c r="D791" s="2" t="str">
        <f t="shared" si="11"/>
        <v>Error?</v>
      </c>
    </row>
    <row r="792" spans="1:4" x14ac:dyDescent="0.2">
      <c r="A792" s="5">
        <v>731</v>
      </c>
      <c r="B792" s="138">
        <f>'Expenditures 15-22'!D53</f>
        <v>130923</v>
      </c>
      <c r="C792" s="2" t="s">
        <v>594</v>
      </c>
      <c r="D792" s="2" t="str">
        <f t="shared" si="11"/>
        <v>Error?</v>
      </c>
    </row>
    <row r="793" spans="1:4" x14ac:dyDescent="0.2">
      <c r="A793" s="5">
        <v>732</v>
      </c>
      <c r="B793" s="138">
        <f>'Expenditures 15-22'!D55</f>
        <v>576673</v>
      </c>
      <c r="D793" s="2" t="str">
        <f t="shared" si="11"/>
        <v>Error?</v>
      </c>
    </row>
    <row r="794" spans="1:4" x14ac:dyDescent="0.2">
      <c r="A794" s="5">
        <v>733</v>
      </c>
      <c r="B794" s="138">
        <f>'Expenditures 15-22'!D56</f>
        <v>114761</v>
      </c>
      <c r="D794" s="2" t="str">
        <f t="shared" si="11"/>
        <v>Error?</v>
      </c>
    </row>
    <row r="795" spans="1:4" x14ac:dyDescent="0.2">
      <c r="A795" s="5">
        <v>734</v>
      </c>
      <c r="B795" s="138">
        <f>'Expenditures 15-22'!D57</f>
        <v>691434</v>
      </c>
      <c r="C795" s="2" t="s">
        <v>594</v>
      </c>
      <c r="D795" s="2" t="str">
        <f t="shared" si="11"/>
        <v>Error?</v>
      </c>
    </row>
    <row r="796" spans="1:4" x14ac:dyDescent="0.2">
      <c r="A796" s="5">
        <v>735</v>
      </c>
      <c r="B796" s="138">
        <f>'Expenditures 15-22'!D59</f>
        <v>47827</v>
      </c>
      <c r="D796" s="2" t="str">
        <f t="shared" si="11"/>
        <v>Error?</v>
      </c>
    </row>
    <row r="797" spans="1:4" x14ac:dyDescent="0.2">
      <c r="A797" s="5">
        <v>736</v>
      </c>
      <c r="B797" s="138">
        <f>'Expenditures 15-22'!D60</f>
        <v>68639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123900</v>
      </c>
      <c r="D800" s="2" t="str">
        <f t="shared" si="11"/>
        <v>Error?</v>
      </c>
    </row>
    <row r="801" spans="1:4" x14ac:dyDescent="0.2">
      <c r="A801" s="5">
        <v>740</v>
      </c>
      <c r="B801" s="138">
        <f>'Expenditures 15-22'!D64</f>
        <v>19479</v>
      </c>
      <c r="D801" s="2" t="str">
        <f t="shared" si="11"/>
        <v>Error?</v>
      </c>
    </row>
    <row r="802" spans="1:4" x14ac:dyDescent="0.2">
      <c r="A802" s="10">
        <v>741</v>
      </c>
      <c r="D802" s="2" t="str">
        <f t="shared" si="11"/>
        <v>OK</v>
      </c>
    </row>
    <row r="803" spans="1:4" x14ac:dyDescent="0.2">
      <c r="A803" s="5">
        <v>742</v>
      </c>
      <c r="B803" s="138">
        <f>'Expenditures 15-22'!D65</f>
        <v>259845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159</v>
      </c>
      <c r="D805" s="2" t="str">
        <f t="shared" si="11"/>
        <v>Error?</v>
      </c>
    </row>
    <row r="806" spans="1:4" x14ac:dyDescent="0.2">
      <c r="A806" s="5">
        <v>745</v>
      </c>
      <c r="B806" s="138">
        <f>'Expenditures 15-22'!D69</f>
        <v>10086</v>
      </c>
      <c r="D806" s="2" t="str">
        <f t="shared" si="11"/>
        <v>Error?</v>
      </c>
    </row>
    <row r="807" spans="1:4" x14ac:dyDescent="0.2">
      <c r="A807" s="5">
        <v>746</v>
      </c>
      <c r="B807" s="138">
        <f>'Expenditures 15-22'!D70</f>
        <v>57865</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68110</v>
      </c>
      <c r="C811" s="2" t="s">
        <v>594</v>
      </c>
      <c r="D811" s="2" t="str">
        <f t="shared" si="11"/>
        <v>Error?</v>
      </c>
    </row>
    <row r="812" spans="1:4" x14ac:dyDescent="0.2">
      <c r="A812" s="5">
        <v>751</v>
      </c>
      <c r="B812" s="138">
        <f>'Expenditures 15-22'!D73</f>
        <v>22748</v>
      </c>
      <c r="D812" s="2" t="str">
        <f t="shared" si="11"/>
        <v>Error?</v>
      </c>
    </row>
    <row r="813" spans="1:4" x14ac:dyDescent="0.2">
      <c r="A813" s="5">
        <v>752</v>
      </c>
      <c r="B813" s="138">
        <f>'Expenditures 15-22'!D74</f>
        <v>2435610</v>
      </c>
      <c r="C813" s="2" t="s">
        <v>594</v>
      </c>
      <c r="D813" s="2" t="str">
        <f t="shared" si="11"/>
        <v>Error?</v>
      </c>
    </row>
    <row r="814" spans="1:4" x14ac:dyDescent="0.2">
      <c r="A814" s="5">
        <v>753</v>
      </c>
      <c r="B814" s="138">
        <f>'Expenditures 15-22'!D75</f>
        <v>4163</v>
      </c>
      <c r="D814" s="2" t="str">
        <f t="shared" si="11"/>
        <v>Error?</v>
      </c>
    </row>
    <row r="815" spans="1:4" x14ac:dyDescent="0.2">
      <c r="A815" s="5">
        <v>754</v>
      </c>
      <c r="B815" s="138">
        <f>'Expenditures 15-22'!D114</f>
        <v>6554442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22611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v>
      </c>
      <c r="D833" s="2" t="str">
        <f t="shared" si="12"/>
        <v>Error?</v>
      </c>
    </row>
    <row r="834" spans="1:4" x14ac:dyDescent="0.2">
      <c r="A834" s="5">
        <v>773</v>
      </c>
      <c r="B834" s="138">
        <f>'Expenditures 15-22'!E14</f>
        <v>64808</v>
      </c>
      <c r="D834" s="2" t="str">
        <f t="shared" si="12"/>
        <v>Error?</v>
      </c>
    </row>
    <row r="835" spans="1:4" x14ac:dyDescent="0.2">
      <c r="A835" s="5">
        <v>774</v>
      </c>
      <c r="B835" s="138">
        <f>'Expenditures 15-22'!E15</f>
        <v>3701</v>
      </c>
      <c r="D835" s="2" t="str">
        <f t="shared" si="12"/>
        <v>Error?</v>
      </c>
    </row>
    <row r="836" spans="1:4" x14ac:dyDescent="0.2">
      <c r="A836" s="5">
        <v>775</v>
      </c>
      <c r="B836" s="138">
        <f>'Expenditures 15-22'!E33</f>
        <v>755041</v>
      </c>
      <c r="C836" s="2" t="s">
        <v>594</v>
      </c>
      <c r="D836" s="2" t="str">
        <f t="shared" si="12"/>
        <v>Error?</v>
      </c>
    </row>
    <row r="837" spans="1:4" x14ac:dyDescent="0.2">
      <c r="A837" s="5">
        <v>776</v>
      </c>
      <c r="B837" s="138">
        <f>'Expenditures 15-22'!E36</f>
        <v>538</v>
      </c>
      <c r="D837" s="2" t="str">
        <f t="shared" si="12"/>
        <v>Error?</v>
      </c>
    </row>
    <row r="838" spans="1:4" x14ac:dyDescent="0.2">
      <c r="A838" s="5">
        <v>777</v>
      </c>
      <c r="B838" s="138">
        <f>'Expenditures 15-22'!E37</f>
        <v>15</v>
      </c>
      <c r="D838" s="2" t="str">
        <f t="shared" si="12"/>
        <v>Error?</v>
      </c>
    </row>
    <row r="839" spans="1:4" x14ac:dyDescent="0.2">
      <c r="A839" s="5">
        <v>778</v>
      </c>
      <c r="B839" s="138">
        <f>'Expenditures 15-22'!E38</f>
        <v>14871</v>
      </c>
      <c r="D839" s="2" t="str">
        <f t="shared" si="12"/>
        <v>Error?</v>
      </c>
    </row>
    <row r="840" spans="1:4" x14ac:dyDescent="0.2">
      <c r="A840" s="5">
        <v>779</v>
      </c>
      <c r="B840" s="138">
        <f>'Expenditures 15-22'!E39</f>
        <v>2990</v>
      </c>
      <c r="D840" s="2" t="str">
        <f t="shared" si="12"/>
        <v>Error?</v>
      </c>
    </row>
    <row r="841" spans="1:4" x14ac:dyDescent="0.2">
      <c r="A841" s="5">
        <v>780</v>
      </c>
      <c r="B841" s="138">
        <f>'Expenditures 15-22'!E40</f>
        <v>6359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24773</v>
      </c>
      <c r="C843" s="2" t="s">
        <v>594</v>
      </c>
      <c r="D843" s="2" t="str">
        <f t="shared" si="12"/>
        <v>Error?</v>
      </c>
    </row>
    <row r="844" spans="1:4" x14ac:dyDescent="0.2">
      <c r="A844" s="5">
        <v>783</v>
      </c>
      <c r="B844" s="138">
        <f>'Expenditures 15-22'!E44</f>
        <v>492176</v>
      </c>
      <c r="D844" s="2" t="str">
        <f t="shared" si="12"/>
        <v>Error?</v>
      </c>
    </row>
    <row r="845" spans="1:4" x14ac:dyDescent="0.2">
      <c r="A845" s="5">
        <v>784</v>
      </c>
      <c r="B845" s="138">
        <f>'Expenditures 15-22'!E45</f>
        <v>726852</v>
      </c>
      <c r="D845" s="2" t="str">
        <f t="shared" si="12"/>
        <v>Error?</v>
      </c>
    </row>
    <row r="846" spans="1:4" x14ac:dyDescent="0.2">
      <c r="A846" s="5">
        <v>785</v>
      </c>
      <c r="B846" s="138">
        <f>'Expenditures 15-22'!E46</f>
        <v>16225</v>
      </c>
      <c r="D846" s="2" t="str">
        <f t="shared" si="12"/>
        <v>Error?</v>
      </c>
    </row>
    <row r="847" spans="1:4" x14ac:dyDescent="0.2">
      <c r="A847" s="5">
        <v>786</v>
      </c>
      <c r="B847" s="138">
        <f>'Expenditures 15-22'!E47</f>
        <v>1235253</v>
      </c>
      <c r="C847" s="2" t="s">
        <v>594</v>
      </c>
      <c r="D847" s="2" t="str">
        <f t="shared" si="12"/>
        <v>Error?</v>
      </c>
    </row>
    <row r="848" spans="1:4" x14ac:dyDescent="0.2">
      <c r="A848" s="5">
        <v>787</v>
      </c>
      <c r="B848" s="138">
        <f>'Expenditures 15-22'!E49</f>
        <v>133742</v>
      </c>
      <c r="D848" s="2" t="str">
        <f t="shared" si="12"/>
        <v>Error?</v>
      </c>
    </row>
    <row r="849" spans="1:4" x14ac:dyDescent="0.2">
      <c r="A849" s="5">
        <v>788</v>
      </c>
      <c r="B849" s="138">
        <f>'Expenditures 15-22'!E50</f>
        <v>5279</v>
      </c>
      <c r="D849" s="2" t="str">
        <f t="shared" si="12"/>
        <v>Error?</v>
      </c>
    </row>
    <row r="850" spans="1:4" x14ac:dyDescent="0.2">
      <c r="A850" s="5">
        <v>789</v>
      </c>
      <c r="B850" s="138">
        <f>'Expenditures 15-22'!E53</f>
        <v>170137</v>
      </c>
      <c r="C850" s="2" t="s">
        <v>594</v>
      </c>
      <c r="D850" s="2" t="str">
        <f t="shared" si="12"/>
        <v>Error?</v>
      </c>
    </row>
    <row r="851" spans="1:4" x14ac:dyDescent="0.2">
      <c r="A851" s="5">
        <v>790</v>
      </c>
      <c r="B851" s="138">
        <f>'Expenditures 15-22'!E55</f>
        <v>30837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30837</v>
      </c>
      <c r="C853" s="2" t="s">
        <v>594</v>
      </c>
      <c r="D853" s="2" t="str">
        <f t="shared" si="12"/>
        <v>Error?</v>
      </c>
    </row>
    <row r="854" spans="1:4" x14ac:dyDescent="0.2">
      <c r="A854" s="5">
        <v>793</v>
      </c>
      <c r="B854" s="138">
        <f>'Expenditures 15-22'!E59</f>
        <v>100065</v>
      </c>
      <c r="D854" s="2" t="str">
        <f t="shared" si="12"/>
        <v>Error?</v>
      </c>
    </row>
    <row r="855" spans="1:4" x14ac:dyDescent="0.2">
      <c r="A855" s="5">
        <v>794</v>
      </c>
      <c r="B855" s="138">
        <f>'Expenditures 15-22'!E60</f>
        <v>9108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28774</v>
      </c>
      <c r="D858" s="2" t="str">
        <f t="shared" si="12"/>
        <v>Error?</v>
      </c>
    </row>
    <row r="859" spans="1:4" x14ac:dyDescent="0.2">
      <c r="A859" s="5">
        <v>798</v>
      </c>
      <c r="B859" s="138">
        <f>'Expenditures 15-22'!E64</f>
        <v>7976</v>
      </c>
      <c r="D859" s="2" t="str">
        <f t="shared" si="12"/>
        <v>Error?</v>
      </c>
    </row>
    <row r="860" spans="1:4" x14ac:dyDescent="0.2">
      <c r="A860" s="10">
        <v>799</v>
      </c>
      <c r="D860" s="2" t="str">
        <f t="shared" si="12"/>
        <v>OK</v>
      </c>
    </row>
    <row r="861" spans="1:4" x14ac:dyDescent="0.2">
      <c r="A861" s="5">
        <v>800</v>
      </c>
      <c r="B861" s="138">
        <f>'Expenditures 15-22'!E65</f>
        <v>145923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8295</v>
      </c>
      <c r="D863" s="2" t="str">
        <f t="shared" si="12"/>
        <v>Error?</v>
      </c>
    </row>
    <row r="864" spans="1:4" x14ac:dyDescent="0.2">
      <c r="A864" s="5">
        <v>803</v>
      </c>
      <c r="B864" s="138">
        <f>'Expenditures 15-22'!E69</f>
        <v>5987</v>
      </c>
      <c r="D864" s="2" t="str">
        <f t="shared" si="12"/>
        <v>Error?</v>
      </c>
    </row>
    <row r="865" spans="1:4" x14ac:dyDescent="0.2">
      <c r="A865" s="5">
        <v>804</v>
      </c>
      <c r="B865" s="138">
        <f>'Expenditures 15-22'!E70</f>
        <v>60055</v>
      </c>
      <c r="D865" s="2" t="str">
        <f t="shared" si="12"/>
        <v>Error?</v>
      </c>
    </row>
    <row r="866" spans="1:4" x14ac:dyDescent="0.2">
      <c r="A866" s="10">
        <v>805</v>
      </c>
      <c r="D866" s="2" t="str">
        <f t="shared" si="12"/>
        <v>OK</v>
      </c>
    </row>
    <row r="867" spans="1:4" x14ac:dyDescent="0.2">
      <c r="A867" s="5">
        <v>806</v>
      </c>
      <c r="B867" s="138">
        <f>'Expenditures 15-22'!E71</f>
        <v>101959</v>
      </c>
      <c r="D867" s="2" t="str">
        <f t="shared" si="12"/>
        <v>Error?</v>
      </c>
    </row>
    <row r="868" spans="1:4" x14ac:dyDescent="0.2">
      <c r="A868" s="10">
        <v>807</v>
      </c>
      <c r="D868" s="2" t="str">
        <f t="shared" si="12"/>
        <v>OK</v>
      </c>
    </row>
    <row r="869" spans="1:4" x14ac:dyDescent="0.2">
      <c r="A869" s="5">
        <v>808</v>
      </c>
      <c r="B869" s="138">
        <f>'Expenditures 15-22'!E72</f>
        <v>176296</v>
      </c>
      <c r="C869" s="2" t="s">
        <v>594</v>
      </c>
      <c r="D869" s="2" t="str">
        <f t="shared" si="12"/>
        <v>Error?</v>
      </c>
    </row>
    <row r="870" spans="1:4" x14ac:dyDescent="0.2">
      <c r="A870" s="5">
        <v>809</v>
      </c>
      <c r="B870" s="138">
        <f>'Expenditures 15-22'!E73</f>
        <v>1341</v>
      </c>
      <c r="D870" s="2" t="str">
        <f t="shared" si="12"/>
        <v>Error?</v>
      </c>
    </row>
    <row r="871" spans="1:4" x14ac:dyDescent="0.2">
      <c r="A871" s="5">
        <v>810</v>
      </c>
      <c r="B871" s="138">
        <f>'Expenditures 15-22'!E74</f>
        <v>1784560</v>
      </c>
      <c r="C871" s="2" t="s">
        <v>594</v>
      </c>
      <c r="D871" s="2" t="str">
        <f t="shared" si="12"/>
        <v>Error?</v>
      </c>
    </row>
    <row r="872" spans="1:4" x14ac:dyDescent="0.2">
      <c r="A872" s="5">
        <v>811</v>
      </c>
      <c r="B872" s="138">
        <f>'Expenditures 15-22'!E75</f>
        <v>38388</v>
      </c>
      <c r="D872" s="2" t="str">
        <f t="shared" si="12"/>
        <v>Error?</v>
      </c>
    </row>
    <row r="873" spans="1:4" x14ac:dyDescent="0.2">
      <c r="A873" s="5">
        <v>812</v>
      </c>
      <c r="B873" s="138">
        <f>'Expenditures 15-22'!E114</f>
        <v>3033887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280419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2050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14979</v>
      </c>
      <c r="D891" s="2" t="str">
        <f t="shared" si="12"/>
        <v>Error?</v>
      </c>
    </row>
    <row r="892" spans="1:4" x14ac:dyDescent="0.2">
      <c r="A892" s="5">
        <v>831</v>
      </c>
      <c r="B892" s="138">
        <f>'Expenditures 15-22'!F14</f>
        <v>64156</v>
      </c>
      <c r="D892" s="2" t="str">
        <f t="shared" si="12"/>
        <v>Error?</v>
      </c>
    </row>
    <row r="893" spans="1:4" x14ac:dyDescent="0.2">
      <c r="A893" s="5">
        <v>832</v>
      </c>
      <c r="B893" s="138">
        <f>'Expenditures 15-22'!F15</f>
        <v>101016</v>
      </c>
      <c r="D893" s="2" t="str">
        <f t="shared" si="12"/>
        <v>Error?</v>
      </c>
    </row>
    <row r="894" spans="1:4" x14ac:dyDescent="0.2">
      <c r="A894" s="5">
        <v>833</v>
      </c>
      <c r="B894" s="138">
        <f>'Expenditures 15-22'!F33</f>
        <v>997513</v>
      </c>
      <c r="C894" s="2" t="s">
        <v>594</v>
      </c>
      <c r="D894" s="2" t="str">
        <f t="shared" si="12"/>
        <v>Error?</v>
      </c>
    </row>
    <row r="895" spans="1:4" x14ac:dyDescent="0.2">
      <c r="A895" s="5">
        <v>834</v>
      </c>
      <c r="B895" s="138">
        <f>'Expenditures 15-22'!F36</f>
        <v>6700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9610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1684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17994</v>
      </c>
      <c r="C901" s="2" t="s">
        <v>594</v>
      </c>
      <c r="D901" s="2" t="str">
        <f t="shared" si="13"/>
        <v>Error?</v>
      </c>
    </row>
    <row r="902" spans="1:4" x14ac:dyDescent="0.2">
      <c r="A902" s="5">
        <v>841</v>
      </c>
      <c r="B902" s="138">
        <f>'Expenditures 15-22'!F44</f>
        <v>22186</v>
      </c>
      <c r="D902" s="2" t="str">
        <f t="shared" si="13"/>
        <v>Error?</v>
      </c>
    </row>
    <row r="903" spans="1:4" x14ac:dyDescent="0.2">
      <c r="A903" s="5">
        <v>842</v>
      </c>
      <c r="B903" s="138">
        <f>'Expenditures 15-22'!F45</f>
        <v>244303</v>
      </c>
      <c r="D903" s="2" t="str">
        <f t="shared" si="13"/>
        <v>Error?</v>
      </c>
    </row>
    <row r="904" spans="1:4" x14ac:dyDescent="0.2">
      <c r="A904" s="5">
        <v>843</v>
      </c>
      <c r="B904" s="138">
        <f>'Expenditures 15-22'!F46</f>
        <v>63624</v>
      </c>
      <c r="D904" s="2" t="str">
        <f t="shared" si="13"/>
        <v>Error?</v>
      </c>
    </row>
    <row r="905" spans="1:4" x14ac:dyDescent="0.2">
      <c r="A905" s="5">
        <v>844</v>
      </c>
      <c r="B905" s="138">
        <f>'Expenditures 15-22'!F47</f>
        <v>330113</v>
      </c>
      <c r="C905" s="2" t="s">
        <v>594</v>
      </c>
      <c r="D905" s="2" t="str">
        <f t="shared" si="13"/>
        <v>Error?</v>
      </c>
    </row>
    <row r="906" spans="1:4" x14ac:dyDescent="0.2">
      <c r="A906" s="5">
        <v>845</v>
      </c>
      <c r="B906" s="138">
        <f>'Expenditures 15-22'!F49</f>
        <v>1040</v>
      </c>
      <c r="D906" s="2" t="str">
        <f t="shared" si="13"/>
        <v>Error?</v>
      </c>
    </row>
    <row r="907" spans="1:4" x14ac:dyDescent="0.2">
      <c r="A907" s="5">
        <v>846</v>
      </c>
      <c r="B907" s="138">
        <f>'Expenditures 15-22'!F50</f>
        <v>9721</v>
      </c>
      <c r="D907" s="2" t="str">
        <f t="shared" si="13"/>
        <v>Error?</v>
      </c>
    </row>
    <row r="908" spans="1:4" x14ac:dyDescent="0.2">
      <c r="A908" s="5">
        <v>847</v>
      </c>
      <c r="B908" s="138">
        <f>'Expenditures 15-22'!F53</f>
        <v>16725</v>
      </c>
      <c r="C908" s="2" t="s">
        <v>594</v>
      </c>
      <c r="D908" s="2" t="str">
        <f t="shared" si="13"/>
        <v>Error?</v>
      </c>
    </row>
    <row r="909" spans="1:4" x14ac:dyDescent="0.2">
      <c r="A909" s="5">
        <v>848</v>
      </c>
      <c r="B909" s="138">
        <f>'Expenditures 15-22'!F55</f>
        <v>104686</v>
      </c>
      <c r="D909" s="2" t="str">
        <f t="shared" si="13"/>
        <v>Error?</v>
      </c>
    </row>
    <row r="910" spans="1:4" x14ac:dyDescent="0.2">
      <c r="A910" s="5">
        <v>849</v>
      </c>
      <c r="B910" s="138">
        <f>'Expenditures 15-22'!F56</f>
        <v>4843</v>
      </c>
      <c r="D910" s="2" t="str">
        <f t="shared" si="13"/>
        <v>Error?</v>
      </c>
    </row>
    <row r="911" spans="1:4" x14ac:dyDescent="0.2">
      <c r="A911" s="5">
        <v>850</v>
      </c>
      <c r="B911" s="138">
        <f>'Expenditures 15-22'!F57</f>
        <v>109529</v>
      </c>
      <c r="C911" s="2" t="s">
        <v>594</v>
      </c>
      <c r="D911" s="2" t="str">
        <f t="shared" si="13"/>
        <v>Error?</v>
      </c>
    </row>
    <row r="912" spans="1:4" x14ac:dyDescent="0.2">
      <c r="A912" s="5">
        <v>851</v>
      </c>
      <c r="B912" s="138">
        <f>'Expenditures 15-22'!F59</f>
        <v>1820</v>
      </c>
      <c r="D912" s="2" t="str">
        <f t="shared" si="13"/>
        <v>Error?</v>
      </c>
    </row>
    <row r="913" spans="1:4" x14ac:dyDescent="0.2">
      <c r="A913" s="5">
        <v>852</v>
      </c>
      <c r="B913" s="138">
        <f>'Expenditures 15-22'!F60</f>
        <v>1400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1251223</v>
      </c>
      <c r="D916" s="2" t="str">
        <f t="shared" si="13"/>
        <v>Error?</v>
      </c>
    </row>
    <row r="917" spans="1:4" x14ac:dyDescent="0.2">
      <c r="A917" s="5">
        <v>856</v>
      </c>
      <c r="B917" s="138">
        <f>'Expenditures 15-22'!F64</f>
        <v>449</v>
      </c>
      <c r="D917" s="2" t="str">
        <f t="shared" si="13"/>
        <v>Error?</v>
      </c>
    </row>
    <row r="918" spans="1:4" x14ac:dyDescent="0.2">
      <c r="A918" s="10">
        <v>857</v>
      </c>
      <c r="D918" s="2" t="str">
        <f t="shared" si="13"/>
        <v>OK</v>
      </c>
    </row>
    <row r="919" spans="1:4" x14ac:dyDescent="0.2">
      <c r="A919" s="5">
        <v>858</v>
      </c>
      <c r="B919" s="138">
        <f>'Expenditures 15-22'!F65</f>
        <v>1254892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2943</v>
      </c>
      <c r="D922" s="2" t="str">
        <f t="shared" si="13"/>
        <v>Error?</v>
      </c>
    </row>
    <row r="923" spans="1:4" x14ac:dyDescent="0.2">
      <c r="A923" s="5">
        <v>862</v>
      </c>
      <c r="B923" s="138">
        <f>'Expenditures 15-22'!F70</f>
        <v>12935</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15878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1745131</v>
      </c>
      <c r="C929" s="2" t="s">
        <v>594</v>
      </c>
      <c r="D929" s="2" t="str">
        <f t="shared" si="13"/>
        <v>Error?</v>
      </c>
    </row>
    <row r="930" spans="1:4" x14ac:dyDescent="0.2">
      <c r="A930" s="5">
        <v>869</v>
      </c>
      <c r="B930" s="138">
        <f>'Expenditures 15-22'!F75</f>
        <v>57322</v>
      </c>
      <c r="D930" s="2" t="str">
        <f t="shared" si="13"/>
        <v>Error?</v>
      </c>
    </row>
    <row r="931" spans="1:4" x14ac:dyDescent="0.2">
      <c r="A931" s="5">
        <v>870</v>
      </c>
      <c r="B931" s="138">
        <f>'Expenditures 15-22'!F114</f>
        <v>2799966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101750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105849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148453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148453</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1826</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24893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26719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175172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281021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869122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120409</v>
      </c>
      <c r="D1016" s="2" t="str">
        <f t="shared" si="14"/>
        <v>Error?</v>
      </c>
    </row>
    <row r="1017" spans="1:4" x14ac:dyDescent="0.2">
      <c r="A1017" s="5">
        <v>956</v>
      </c>
      <c r="B1017" s="138">
        <f>'Expenditures 15-22'!H42</f>
        <v>120409</v>
      </c>
      <c r="C1017" s="2" t="s">
        <v>594</v>
      </c>
      <c r="D1017" s="2" t="str">
        <f t="shared" si="14"/>
        <v>Error?</v>
      </c>
    </row>
    <row r="1018" spans="1:4" x14ac:dyDescent="0.2">
      <c r="A1018" s="5">
        <v>957</v>
      </c>
      <c r="B1018" s="138">
        <f>'Expenditures 15-22'!H44</f>
        <v>4015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4015</v>
      </c>
      <c r="C1021" s="2" t="s">
        <v>594</v>
      </c>
      <c r="D1021" s="2" t="str">
        <f t="shared" si="14"/>
        <v>Error?</v>
      </c>
    </row>
    <row r="1022" spans="1:4" x14ac:dyDescent="0.2">
      <c r="A1022" s="5">
        <v>961</v>
      </c>
      <c r="B1022" s="138">
        <f>'Expenditures 15-22'!H49</f>
        <v>16921</v>
      </c>
      <c r="D1022" s="2" t="str">
        <f t="shared" si="14"/>
        <v>Error?</v>
      </c>
    </row>
    <row r="1023" spans="1:4" x14ac:dyDescent="0.2">
      <c r="A1023" s="5">
        <v>962</v>
      </c>
      <c r="B1023" s="138">
        <f>'Expenditures 15-22'!H50</f>
        <v>7430</v>
      </c>
      <c r="D1023" s="2" t="str">
        <f t="shared" ref="D1023:D1086" si="15">IF(ISBLANK(B1023),"OK",IF(A1023-B1023=0,"OK","Error?"))</f>
        <v>Error?</v>
      </c>
    </row>
    <row r="1024" spans="1:4" x14ac:dyDescent="0.2">
      <c r="A1024" s="5">
        <v>963</v>
      </c>
      <c r="B1024" s="138">
        <f>'Expenditures 15-22'!H53</f>
        <v>24351</v>
      </c>
      <c r="C1024" s="2" t="s">
        <v>594</v>
      </c>
      <c r="D1024" s="2" t="str">
        <f t="shared" si="15"/>
        <v>Error?</v>
      </c>
    </row>
    <row r="1025" spans="1:4" x14ac:dyDescent="0.2">
      <c r="A1025" s="5">
        <v>964</v>
      </c>
      <c r="B1025" s="138">
        <f>'Expenditures 15-22'!H55</f>
        <v>4307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4307</v>
      </c>
      <c r="C1027" s="2" t="s">
        <v>594</v>
      </c>
      <c r="D1027" s="2" t="str">
        <f t="shared" si="15"/>
        <v>Error?</v>
      </c>
    </row>
    <row r="1028" spans="1:4" x14ac:dyDescent="0.2">
      <c r="A1028" s="5">
        <v>967</v>
      </c>
      <c r="B1028" s="138">
        <f>'Expenditures 15-22'!H59</f>
        <v>29215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2000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31215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5954</v>
      </c>
      <c r="D1038" s="2" t="str">
        <f t="shared" si="15"/>
        <v>Error?</v>
      </c>
    </row>
    <row r="1039" spans="1:4" x14ac:dyDescent="0.2">
      <c r="A1039" s="5">
        <v>978</v>
      </c>
      <c r="B1039" s="138">
        <f>'Expenditures 15-22'!H70</f>
        <v>3230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9184</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193481</v>
      </c>
      <c r="C1045" s="2" t="s">
        <v>594</v>
      </c>
      <c r="D1045" s="2" t="str">
        <f t="shared" si="15"/>
        <v>Error?</v>
      </c>
    </row>
    <row r="1046" spans="1:4" x14ac:dyDescent="0.2">
      <c r="A1046" s="5">
        <v>985</v>
      </c>
      <c r="B1046" s="138">
        <f>'Expenditures 15-22'!H75</f>
        <v>246</v>
      </c>
      <c r="D1046" s="2" t="str">
        <f t="shared" si="15"/>
        <v>Error?</v>
      </c>
    </row>
    <row r="1047" spans="1:4" x14ac:dyDescent="0.2">
      <c r="A1047" s="5">
        <v>986</v>
      </c>
      <c r="B1047" s="138">
        <f>'Expenditures 15-22'!H102</f>
        <v>221337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1284186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14357199</v>
      </c>
      <c r="C1093" s="2" t="s">
        <v>594</v>
      </c>
      <c r="D1093" s="2" t="str">
        <f t="shared" si="16"/>
        <v>Error?</v>
      </c>
    </row>
    <row r="1094" spans="1:4" x14ac:dyDescent="0.2">
      <c r="A1094" s="5">
        <v>1033</v>
      </c>
      <c r="B1094" s="138">
        <f>'Expenditures 15-22'!K16</f>
        <v>484221</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428085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585965</v>
      </c>
      <c r="C1105" s="2" t="s">
        <v>594</v>
      </c>
      <c r="D1105" s="2" t="str">
        <f t="shared" si="16"/>
        <v>Error?</v>
      </c>
    </row>
    <row r="1106" spans="1:4" x14ac:dyDescent="0.2">
      <c r="A1106" s="5">
        <v>1045</v>
      </c>
      <c r="B1106" s="138">
        <f>'Expenditures 15-22'!K14</f>
        <v>617384</v>
      </c>
      <c r="C1106" s="2" t="s">
        <v>594</v>
      </c>
      <c r="D1106" s="2" t="str">
        <f t="shared" si="16"/>
        <v>Error?</v>
      </c>
    </row>
    <row r="1107" spans="1:4" x14ac:dyDescent="0.2">
      <c r="A1107" s="5">
        <v>1046</v>
      </c>
      <c r="B1107" s="138">
        <f>'Expenditures 15-22'!K15</f>
        <v>218262</v>
      </c>
      <c r="C1107" s="2" t="s">
        <v>594</v>
      </c>
      <c r="D1107" s="2" t="str">
        <f t="shared" si="16"/>
        <v>Error?</v>
      </c>
    </row>
    <row r="1108" spans="1:4" x14ac:dyDescent="0.2">
      <c r="A1108" s="5">
        <v>1047</v>
      </c>
      <c r="B1108" s="138">
        <f>'Expenditures 15-22'!K33</f>
        <v>23999209</v>
      </c>
      <c r="C1108" s="2" t="s">
        <v>594</v>
      </c>
      <c r="D1108" s="2" t="str">
        <f t="shared" si="16"/>
        <v>Error?</v>
      </c>
    </row>
    <row r="1109" spans="1:4" x14ac:dyDescent="0.2">
      <c r="A1109" s="5">
        <v>1048</v>
      </c>
      <c r="B1109" s="138">
        <f>'Expenditures 15-22'!K36</f>
        <v>1076571</v>
      </c>
      <c r="C1109" s="2" t="s">
        <v>594</v>
      </c>
      <c r="D1109" s="2" t="str">
        <f t="shared" si="16"/>
        <v>Error?</v>
      </c>
    </row>
    <row r="1110" spans="1:4" x14ac:dyDescent="0.2">
      <c r="A1110" s="5">
        <v>1049</v>
      </c>
      <c r="B1110" s="138">
        <f>'Expenditures 15-22'!K37</f>
        <v>881337</v>
      </c>
      <c r="C1110" s="2" t="s">
        <v>594</v>
      </c>
      <c r="D1110" s="2" t="str">
        <f t="shared" si="16"/>
        <v>Error?</v>
      </c>
    </row>
    <row r="1111" spans="1:4" x14ac:dyDescent="0.2">
      <c r="A1111" s="5">
        <v>1050</v>
      </c>
      <c r="B1111" s="138">
        <f>'Expenditures 15-22'!K38</f>
        <v>657449</v>
      </c>
      <c r="C1111" s="2" t="s">
        <v>594</v>
      </c>
      <c r="D1111" s="2" t="str">
        <f t="shared" si="16"/>
        <v>Error?</v>
      </c>
    </row>
    <row r="1112" spans="1:4" x14ac:dyDescent="0.2">
      <c r="A1112" s="5">
        <v>1051</v>
      </c>
      <c r="B1112" s="138">
        <f>'Expenditures 15-22'!K39</f>
        <v>291818</v>
      </c>
      <c r="C1112" s="2" t="s">
        <v>594</v>
      </c>
      <c r="D1112" s="2" t="str">
        <f t="shared" si="16"/>
        <v>Error?</v>
      </c>
    </row>
    <row r="1113" spans="1:4" x14ac:dyDescent="0.2">
      <c r="A1113" s="5">
        <v>1052</v>
      </c>
      <c r="B1113" s="138">
        <f>'Expenditures 15-22'!K40</f>
        <v>499558</v>
      </c>
      <c r="C1113" s="2" t="s">
        <v>594</v>
      </c>
      <c r="D1113" s="2" t="str">
        <f t="shared" si="16"/>
        <v>Error?</v>
      </c>
    </row>
    <row r="1114" spans="1:4" x14ac:dyDescent="0.2">
      <c r="A1114" s="5">
        <v>1053</v>
      </c>
      <c r="B1114" s="138">
        <f>'Expenditures 15-22'!K41</f>
        <v>285965</v>
      </c>
      <c r="C1114" s="2" t="s">
        <v>594</v>
      </c>
      <c r="D1114" s="2" t="str">
        <f t="shared" si="16"/>
        <v>Error?</v>
      </c>
    </row>
    <row r="1115" spans="1:4" x14ac:dyDescent="0.2">
      <c r="A1115" s="5">
        <v>1054</v>
      </c>
      <c r="B1115" s="138">
        <f>'Expenditures 15-22'!K42</f>
        <v>3692698</v>
      </c>
      <c r="C1115" s="2" t="s">
        <v>594</v>
      </c>
      <c r="D1115" s="2" t="str">
        <f t="shared" si="16"/>
        <v>Error?</v>
      </c>
    </row>
    <row r="1116" spans="1:4" x14ac:dyDescent="0.2">
      <c r="A1116" s="5">
        <v>1055</v>
      </c>
      <c r="B1116" s="138">
        <f>'Expenditures 15-22'!K44</f>
        <v>2175129</v>
      </c>
      <c r="C1116" s="2" t="s">
        <v>594</v>
      </c>
      <c r="D1116" s="2" t="str">
        <f t="shared" si="16"/>
        <v>Error?</v>
      </c>
    </row>
    <row r="1117" spans="1:4" x14ac:dyDescent="0.2">
      <c r="A1117" s="5">
        <v>1056</v>
      </c>
      <c r="B1117" s="138">
        <f>'Expenditures 15-22'!K45</f>
        <v>2166355</v>
      </c>
      <c r="C1117" s="2" t="s">
        <v>594</v>
      </c>
      <c r="D1117" s="2" t="str">
        <f t="shared" si="16"/>
        <v>Error?</v>
      </c>
    </row>
    <row r="1118" spans="1:4" x14ac:dyDescent="0.2">
      <c r="A1118" s="5">
        <v>1057</v>
      </c>
      <c r="B1118" s="138">
        <f>'Expenditures 15-22'!K46</f>
        <v>79849</v>
      </c>
      <c r="C1118" s="2" t="s">
        <v>594</v>
      </c>
      <c r="D1118" s="2" t="str">
        <f t="shared" si="16"/>
        <v>Error?</v>
      </c>
    </row>
    <row r="1119" spans="1:4" x14ac:dyDescent="0.2">
      <c r="A1119" s="5">
        <v>1058</v>
      </c>
      <c r="B1119" s="138">
        <f>'Expenditures 15-22'!K47</f>
        <v>4421333</v>
      </c>
      <c r="C1119" s="2" t="s">
        <v>594</v>
      </c>
      <c r="D1119" s="2" t="str">
        <f t="shared" si="16"/>
        <v>Error?</v>
      </c>
    </row>
    <row r="1120" spans="1:4" x14ac:dyDescent="0.2">
      <c r="A1120" s="5">
        <v>1059</v>
      </c>
      <c r="B1120" s="138">
        <f>'Expenditures 15-22'!K49</f>
        <v>155303</v>
      </c>
      <c r="C1120" s="2" t="s">
        <v>594</v>
      </c>
      <c r="D1120" s="2" t="str">
        <f t="shared" si="16"/>
        <v>Error?</v>
      </c>
    </row>
    <row r="1121" spans="1:4" x14ac:dyDescent="0.2">
      <c r="A1121" s="5">
        <v>1060</v>
      </c>
      <c r="B1121" s="138">
        <f>'Expenditures 15-22'!K50</f>
        <v>289484</v>
      </c>
      <c r="C1121" s="2" t="s">
        <v>594</v>
      </c>
      <c r="D1121" s="2" t="str">
        <f t="shared" si="16"/>
        <v>Error?</v>
      </c>
    </row>
    <row r="1122" spans="1:4" x14ac:dyDescent="0.2">
      <c r="A1122" s="5">
        <v>1061</v>
      </c>
      <c r="B1122" s="138">
        <f>'Expenditures 15-22'!K53</f>
        <v>852897</v>
      </c>
      <c r="C1122" s="2" t="s">
        <v>594</v>
      </c>
      <c r="D1122" s="2" t="str">
        <f t="shared" si="16"/>
        <v>Error?</v>
      </c>
    </row>
    <row r="1123" spans="1:4" x14ac:dyDescent="0.2">
      <c r="A1123" s="5">
        <v>1062</v>
      </c>
      <c r="B1123" s="138">
        <f>'Expenditures 15-22'!K55</f>
        <v>2491134</v>
      </c>
      <c r="C1123" s="2" t="s">
        <v>594</v>
      </c>
      <c r="D1123" s="2" t="str">
        <f t="shared" si="16"/>
        <v>Error?</v>
      </c>
    </row>
    <row r="1124" spans="1:4" x14ac:dyDescent="0.2">
      <c r="A1124" s="5">
        <v>1063</v>
      </c>
      <c r="B1124" s="138">
        <f>'Expenditures 15-22'!K56</f>
        <v>557273</v>
      </c>
      <c r="C1124" s="2" t="s">
        <v>594</v>
      </c>
      <c r="D1124" s="2" t="str">
        <f t="shared" si="16"/>
        <v>Error?</v>
      </c>
    </row>
    <row r="1125" spans="1:4" x14ac:dyDescent="0.2">
      <c r="A1125" s="5">
        <v>1064</v>
      </c>
      <c r="B1125" s="138">
        <f>'Expenditures 15-22'!K57</f>
        <v>3048407</v>
      </c>
      <c r="C1125" s="2" t="s">
        <v>594</v>
      </c>
      <c r="D1125" s="2" t="str">
        <f t="shared" si="16"/>
        <v>Error?</v>
      </c>
    </row>
    <row r="1126" spans="1:4" x14ac:dyDescent="0.2">
      <c r="A1126" s="5">
        <v>1065</v>
      </c>
      <c r="B1126" s="138">
        <f>'Expenditures 15-22'!K59</f>
        <v>351984</v>
      </c>
      <c r="C1126" s="2" t="s">
        <v>594</v>
      </c>
      <c r="D1126" s="2" t="str">
        <f t="shared" si="16"/>
        <v>Error?</v>
      </c>
    </row>
    <row r="1127" spans="1:4" x14ac:dyDescent="0.2">
      <c r="A1127" s="5">
        <v>1066</v>
      </c>
      <c r="B1127" s="138">
        <f>'Expenditures 15-22'!K60</f>
        <v>223967</v>
      </c>
      <c r="C1127" s="2" t="s">
        <v>594</v>
      </c>
      <c r="D1127" s="2" t="str">
        <f t="shared" si="16"/>
        <v>Error?</v>
      </c>
    </row>
    <row r="1128" spans="1:4" x14ac:dyDescent="0.2">
      <c r="A1128" s="5">
        <v>1067</v>
      </c>
      <c r="B1128" s="138">
        <f>'Expenditures 15-22'!K61</f>
        <v>14280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2074992</v>
      </c>
      <c r="C1130" s="2" t="s">
        <v>594</v>
      </c>
      <c r="D1130" s="2" t="str">
        <f t="shared" si="16"/>
        <v>Error?</v>
      </c>
    </row>
    <row r="1131" spans="1:4" x14ac:dyDescent="0.2">
      <c r="A1131" s="5">
        <v>1070</v>
      </c>
      <c r="B1131" s="138">
        <f>'Expenditures 15-22'!K64</f>
        <v>106555</v>
      </c>
      <c r="C1131" s="2" t="s">
        <v>594</v>
      </c>
      <c r="D1131" s="2" t="str">
        <f t="shared" si="16"/>
        <v>Error?</v>
      </c>
    </row>
    <row r="1132" spans="1:4" x14ac:dyDescent="0.2">
      <c r="A1132" s="10">
        <v>1071</v>
      </c>
      <c r="D1132" s="2" t="str">
        <f t="shared" si="16"/>
        <v>OK</v>
      </c>
    </row>
    <row r="1133" spans="1:4" x14ac:dyDescent="0.2">
      <c r="A1133" s="5">
        <v>1072</v>
      </c>
      <c r="B1133" s="138">
        <f>'Expenditures 15-22'!K65</f>
        <v>2771778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9155</v>
      </c>
      <c r="C1135" s="2" t="s">
        <v>594</v>
      </c>
      <c r="D1135" s="2" t="str">
        <f t="shared" si="16"/>
        <v>Error?</v>
      </c>
    </row>
    <row r="1136" spans="1:4" x14ac:dyDescent="0.2">
      <c r="A1136" s="5">
        <v>1075</v>
      </c>
      <c r="B1136" s="138">
        <f>'Expenditures 15-22'!K69</f>
        <v>94425</v>
      </c>
      <c r="C1136" s="2" t="s">
        <v>594</v>
      </c>
      <c r="D1136" s="2" t="str">
        <f t="shared" si="16"/>
        <v>Error?</v>
      </c>
    </row>
    <row r="1137" spans="1:4" x14ac:dyDescent="0.2">
      <c r="A1137" s="5">
        <v>1076</v>
      </c>
      <c r="B1137" s="138">
        <f>'Expenditures 15-22'!K70</f>
        <v>359307</v>
      </c>
      <c r="C1137" s="2" t="s">
        <v>594</v>
      </c>
      <c r="D1137" s="2" t="str">
        <f t="shared" si="16"/>
        <v>Error?</v>
      </c>
    </row>
    <row r="1138" spans="1:4" x14ac:dyDescent="0.2">
      <c r="A1138" s="10">
        <v>1077</v>
      </c>
      <c r="D1138" s="2" t="str">
        <f t="shared" si="16"/>
        <v>OK</v>
      </c>
    </row>
    <row r="1139" spans="1:4" x14ac:dyDescent="0.2">
      <c r="A1139" s="5">
        <v>1078</v>
      </c>
      <c r="B1139" s="138">
        <f>'Expenditures 15-22'!K71</f>
        <v>101959</v>
      </c>
      <c r="C1139" s="2" t="s">
        <v>594</v>
      </c>
      <c r="D1139" s="2" t="str">
        <f t="shared" si="16"/>
        <v>Error?</v>
      </c>
    </row>
    <row r="1140" spans="1:4" x14ac:dyDescent="0.2">
      <c r="A1140" s="10">
        <v>1079</v>
      </c>
      <c r="D1140" s="2" t="str">
        <f t="shared" si="16"/>
        <v>OK</v>
      </c>
    </row>
    <row r="1141" spans="1:4" x14ac:dyDescent="0.2">
      <c r="A1141" s="5">
        <v>1080</v>
      </c>
      <c r="B1141" s="138">
        <f>'Expenditures 15-22'!K72</f>
        <v>564846</v>
      </c>
      <c r="C1141" s="2" t="s">
        <v>594</v>
      </c>
      <c r="D1141" s="2" t="str">
        <f t="shared" si="16"/>
        <v>Error?</v>
      </c>
    </row>
    <row r="1142" spans="1:4" x14ac:dyDescent="0.2">
      <c r="A1142" s="5">
        <v>1081</v>
      </c>
      <c r="B1142" s="138">
        <f>'Expenditures 15-22'!K73</f>
        <v>161048</v>
      </c>
      <c r="C1142" s="2" t="s">
        <v>594</v>
      </c>
      <c r="D1142" s="2" t="str">
        <f t="shared" si="16"/>
        <v>Error?</v>
      </c>
    </row>
    <row r="1143" spans="1:4" x14ac:dyDescent="0.2">
      <c r="A1143" s="5">
        <v>1082</v>
      </c>
      <c r="B1143" s="138">
        <f>'Expenditures 15-22'!K74</f>
        <v>15513007</v>
      </c>
      <c r="C1143" s="2" t="s">
        <v>594</v>
      </c>
      <c r="D1143" s="2" t="str">
        <f t="shared" si="16"/>
        <v>Error?</v>
      </c>
    </row>
    <row r="1144" spans="1:4" x14ac:dyDescent="0.2">
      <c r="A1144" s="5">
        <v>1083</v>
      </c>
      <c r="B1144" s="138">
        <f>'Expenditures 15-22'!K75</f>
        <v>132879</v>
      </c>
      <c r="C1144" s="2" t="s">
        <v>594</v>
      </c>
      <c r="D1144" s="2" t="str">
        <f t="shared" si="16"/>
        <v>Error?</v>
      </c>
    </row>
    <row r="1145" spans="1:4" x14ac:dyDescent="0.2">
      <c r="A1145" s="5">
        <v>1084</v>
      </c>
      <c r="B1145" s="138">
        <f>'Expenditures 15-22'!K102</f>
        <v>677235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40322330</v>
      </c>
      <c r="C1152" s="2" t="s">
        <v>594</v>
      </c>
      <c r="D1152" s="2" t="str">
        <f t="shared" si="17"/>
        <v>Error?</v>
      </c>
    </row>
    <row r="1153" spans="1:4" x14ac:dyDescent="0.2">
      <c r="A1153" s="5">
        <v>1092</v>
      </c>
      <c r="B1153" s="138">
        <f>'Expenditures 15-22'!K115</f>
        <v>313692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1725020</v>
      </c>
      <c r="D1221" s="2" t="str">
        <f t="shared" si="18"/>
        <v>Error?</v>
      </c>
    </row>
    <row r="1222" spans="1:4" x14ac:dyDescent="0.2">
      <c r="A1222" s="10">
        <v>1161</v>
      </c>
      <c r="D1222" s="2" t="str">
        <f t="shared" si="18"/>
        <v>OK</v>
      </c>
    </row>
    <row r="1223" spans="1:4" x14ac:dyDescent="0.2">
      <c r="A1223" s="5">
        <v>1162</v>
      </c>
      <c r="B1223" s="138">
        <f>'Expenditures 15-22'!C127</f>
        <v>1725020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1725020</v>
      </c>
      <c r="C1225" s="2" t="s">
        <v>594</v>
      </c>
      <c r="D1225" s="2" t="str">
        <f t="shared" si="18"/>
        <v>Error?</v>
      </c>
    </row>
    <row r="1226" spans="1:4" x14ac:dyDescent="0.2">
      <c r="A1226" s="5">
        <v>1165</v>
      </c>
      <c r="B1226" s="138">
        <f>'Expenditures 15-22'!C151</f>
        <v>1725020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338085</v>
      </c>
      <c r="D1229" s="2" t="str">
        <f t="shared" si="18"/>
        <v>Error?</v>
      </c>
    </row>
    <row r="1230" spans="1:4" x14ac:dyDescent="0.2">
      <c r="A1230" s="10">
        <v>1169</v>
      </c>
      <c r="D1230" s="2" t="str">
        <f t="shared" si="18"/>
        <v>OK</v>
      </c>
    </row>
    <row r="1231" spans="1:4" x14ac:dyDescent="0.2">
      <c r="A1231" s="5">
        <v>1170</v>
      </c>
      <c r="B1231" s="138">
        <f>'Expenditures 15-22'!D127</f>
        <v>338085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338085</v>
      </c>
      <c r="C1233" s="2" t="s">
        <v>594</v>
      </c>
      <c r="D1233" s="2" t="str">
        <f t="shared" si="18"/>
        <v>Error?</v>
      </c>
    </row>
    <row r="1234" spans="1:4" x14ac:dyDescent="0.2">
      <c r="A1234" s="5">
        <v>1173</v>
      </c>
      <c r="B1234" s="138">
        <f>'Expenditures 15-22'!D151</f>
        <v>338085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723964</v>
      </c>
      <c r="D1237" s="2" t="str">
        <f t="shared" si="18"/>
        <v>Error?</v>
      </c>
    </row>
    <row r="1238" spans="1:4" x14ac:dyDescent="0.2">
      <c r="A1238" s="10">
        <v>1177</v>
      </c>
      <c r="D1238" s="2" t="str">
        <f t="shared" si="18"/>
        <v>OK</v>
      </c>
    </row>
    <row r="1239" spans="1:4" x14ac:dyDescent="0.2">
      <c r="A1239" s="5">
        <v>1178</v>
      </c>
      <c r="B1239" s="138">
        <f>'Expenditures 15-22'!E127</f>
        <v>723964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723964</v>
      </c>
      <c r="C1241" s="2" t="s">
        <v>594</v>
      </c>
      <c r="D1241" s="2" t="str">
        <f t="shared" si="18"/>
        <v>Error?</v>
      </c>
    </row>
    <row r="1242" spans="1:4" x14ac:dyDescent="0.2">
      <c r="A1242" s="5">
        <v>1181</v>
      </c>
      <c r="B1242" s="138">
        <f>'Expenditures 15-22'!E151</f>
        <v>723964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1178141</v>
      </c>
      <c r="D1245" s="2" t="str">
        <f t="shared" si="18"/>
        <v>Error?</v>
      </c>
    </row>
    <row r="1246" spans="1:4" x14ac:dyDescent="0.2">
      <c r="A1246" s="10">
        <v>1185</v>
      </c>
      <c r="D1246" s="2" t="str">
        <f t="shared" si="18"/>
        <v>OK</v>
      </c>
    </row>
    <row r="1247" spans="1:4" x14ac:dyDescent="0.2">
      <c r="A1247" s="5">
        <v>1186</v>
      </c>
      <c r="B1247" s="138">
        <f>'Expenditures 15-22'!F127</f>
        <v>1178141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1178141</v>
      </c>
      <c r="C1249" s="2" t="s">
        <v>594</v>
      </c>
      <c r="D1249" s="2" t="str">
        <f t="shared" si="18"/>
        <v>Error?</v>
      </c>
    </row>
    <row r="1250" spans="1:4" x14ac:dyDescent="0.2">
      <c r="A1250" s="5">
        <v>1189</v>
      </c>
      <c r="B1250" s="138">
        <f>'Expenditures 15-22'!F151</f>
        <v>1178141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102987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102987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102987</v>
      </c>
      <c r="C1258" s="2" t="s">
        <v>594</v>
      </c>
      <c r="D1258" s="2" t="str">
        <f t="shared" si="18"/>
        <v>Error?</v>
      </c>
    </row>
    <row r="1259" spans="1:4" x14ac:dyDescent="0.2">
      <c r="A1259" s="5">
        <v>1198</v>
      </c>
      <c r="B1259" s="138">
        <f>'Expenditures 15-22'!G151</f>
        <v>102987</v>
      </c>
      <c r="C1259" s="2" t="s">
        <v>594</v>
      </c>
      <c r="D1259" s="2" t="str">
        <f t="shared" si="18"/>
        <v>Error?</v>
      </c>
    </row>
    <row r="1260" spans="1:4" x14ac:dyDescent="0.2">
      <c r="A1260" s="5">
        <v>1199</v>
      </c>
      <c r="B1260" s="138">
        <f>'Expenditures 15-22'!H122</f>
        <v>2817</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2817</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2817</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2817</v>
      </c>
      <c r="C1273" s="2" t="s">
        <v>594</v>
      </c>
      <c r="D1273" s="2" t="str">
        <f t="shared" si="18"/>
        <v>Error?</v>
      </c>
    </row>
    <row r="1274" spans="1:4" x14ac:dyDescent="0.2">
      <c r="A1274" s="5">
        <v>1213</v>
      </c>
      <c r="B1274" s="138">
        <f>'Expenditures 15-22'!K122</f>
        <v>2817</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4073196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4076013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4076013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4076013</v>
      </c>
      <c r="C1288" s="2" t="s">
        <v>594</v>
      </c>
      <c r="D1288" s="2" t="str">
        <f t="shared" si="19"/>
        <v>Error?</v>
      </c>
    </row>
    <row r="1289" spans="1:4" x14ac:dyDescent="0.2">
      <c r="A1289" s="5">
        <v>1228</v>
      </c>
      <c r="B1289" s="138">
        <f>'Expenditures 15-22'!K152</f>
        <v>222355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1791340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1080431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2871771</v>
      </c>
      <c r="C1317" s="2" t="s">
        <v>594</v>
      </c>
      <c r="D1317" s="2" t="str">
        <f t="shared" si="19"/>
        <v>Error?</v>
      </c>
    </row>
    <row r="1318" spans="1:4" x14ac:dyDescent="0.2">
      <c r="A1318" s="5">
        <v>1257</v>
      </c>
      <c r="B1318" s="138">
        <f>'Expenditures 15-22'!H174</f>
        <v>2871771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1791340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1080431</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2871771</v>
      </c>
      <c r="C1331" s="2" t="s">
        <v>594</v>
      </c>
      <c r="D1331" s="2" t="str">
        <f t="shared" si="19"/>
        <v>Error?</v>
      </c>
    </row>
    <row r="1332" spans="1:4" x14ac:dyDescent="0.2">
      <c r="A1332" s="5">
        <v>1271</v>
      </c>
      <c r="B1332" s="138">
        <f>'Expenditures 15-22'!K174</f>
        <v>2871771</v>
      </c>
      <c r="C1332" s="2" t="s">
        <v>594</v>
      </c>
      <c r="D1332" s="2" t="str">
        <f t="shared" si="19"/>
        <v>Error?</v>
      </c>
    </row>
    <row r="1333" spans="1:4" x14ac:dyDescent="0.2">
      <c r="A1333" s="5">
        <v>1272</v>
      </c>
      <c r="B1333" s="138">
        <f>'Expenditures 15-22'!K175</f>
        <v>-260080</v>
      </c>
      <c r="C1333" s="2" t="s">
        <v>594</v>
      </c>
      <c r="D1333" s="2" t="str">
        <f t="shared" si="19"/>
        <v>Error?</v>
      </c>
    </row>
    <row r="1334" spans="1:4" x14ac:dyDescent="0.2">
      <c r="A1334" s="10">
        <v>1273</v>
      </c>
      <c r="D1334" s="2" t="str">
        <f t="shared" si="19"/>
        <v>OK</v>
      </c>
    </row>
    <row r="1335" spans="1:4" x14ac:dyDescent="0.2">
      <c r="A1335" s="5">
        <v>1274</v>
      </c>
      <c r="B1335" s="138">
        <f>'Expenditures 15-22'!C182</f>
        <v>1446143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22252</v>
      </c>
      <c r="D1338" s="2" t="str">
        <f t="shared" si="19"/>
        <v>Error?</v>
      </c>
    </row>
    <row r="1339" spans="1:4" x14ac:dyDescent="0.2">
      <c r="A1339" s="5">
        <v>1278</v>
      </c>
      <c r="B1339" s="138">
        <f>'Expenditures 15-22'!C184</f>
        <v>1483759</v>
      </c>
      <c r="C1339" s="2" t="s">
        <v>594</v>
      </c>
      <c r="D1339" s="2" t="str">
        <f t="shared" si="19"/>
        <v>Error?</v>
      </c>
    </row>
    <row r="1340" spans="1:4" x14ac:dyDescent="0.2">
      <c r="A1340" s="5">
        <v>1279</v>
      </c>
      <c r="B1340" s="138">
        <f>'Expenditures 15-22'!C210</f>
        <v>1483759</v>
      </c>
      <c r="C1340" s="2" t="s">
        <v>594</v>
      </c>
      <c r="D1340" s="2" t="str">
        <f t="shared" si="19"/>
        <v>Error?</v>
      </c>
    </row>
    <row r="1341" spans="1:4" x14ac:dyDescent="0.2">
      <c r="A1341" s="5">
        <v>1280</v>
      </c>
      <c r="B1341" s="138">
        <f>'Expenditures 15-22'!D182</f>
        <v>360631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5440</v>
      </c>
      <c r="D1344" s="2" t="str">
        <f t="shared" si="20"/>
        <v>Error?</v>
      </c>
    </row>
    <row r="1345" spans="1:4" x14ac:dyDescent="0.2">
      <c r="A1345" s="5">
        <v>1284</v>
      </c>
      <c r="B1345" s="138">
        <f>'Expenditures 15-22'!D184</f>
        <v>366071</v>
      </c>
      <c r="C1345" s="2" t="s">
        <v>594</v>
      </c>
      <c r="D1345" s="2" t="str">
        <f t="shared" si="20"/>
        <v>Error?</v>
      </c>
    </row>
    <row r="1346" spans="1:4" x14ac:dyDescent="0.2">
      <c r="A1346" s="5">
        <v>1285</v>
      </c>
      <c r="B1346" s="138">
        <f>'Expenditures 15-22'!D210</f>
        <v>366071</v>
      </c>
      <c r="C1346" s="2" t="s">
        <v>594</v>
      </c>
      <c r="D1346" s="2" t="str">
        <f t="shared" si="20"/>
        <v>Error?</v>
      </c>
    </row>
    <row r="1347" spans="1:4" x14ac:dyDescent="0.2">
      <c r="A1347" s="5">
        <v>1286</v>
      </c>
      <c r="B1347" s="138">
        <f>'Expenditures 15-22'!E182</f>
        <v>166237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3250</v>
      </c>
      <c r="D1350" s="2" t="str">
        <f t="shared" si="20"/>
        <v>Error?</v>
      </c>
    </row>
    <row r="1351" spans="1:4" x14ac:dyDescent="0.2">
      <c r="A1351" s="5">
        <v>1290</v>
      </c>
      <c r="B1351" s="138">
        <f>'Expenditures 15-22'!E184</f>
        <v>169487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169487</v>
      </c>
      <c r="C1353" s="2" t="s">
        <v>594</v>
      </c>
      <c r="D1353" s="2" t="str">
        <f t="shared" si="20"/>
        <v>Error?</v>
      </c>
    </row>
    <row r="1354" spans="1:4" x14ac:dyDescent="0.2">
      <c r="A1354" s="5">
        <v>1293</v>
      </c>
      <c r="B1354" s="138">
        <f>'Expenditures 15-22'!F182</f>
        <v>381352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24053</v>
      </c>
      <c r="D1357" s="2" t="str">
        <f t="shared" si="20"/>
        <v>Error?</v>
      </c>
    </row>
    <row r="1358" spans="1:4" x14ac:dyDescent="0.2">
      <c r="A1358" s="5">
        <v>1297</v>
      </c>
      <c r="B1358" s="138">
        <f>'Expenditures 15-22'!F184</f>
        <v>405405</v>
      </c>
      <c r="C1358" s="2" t="s">
        <v>594</v>
      </c>
      <c r="D1358" s="2" t="str">
        <f t="shared" si="20"/>
        <v>Error?</v>
      </c>
    </row>
    <row r="1359" spans="1:4" x14ac:dyDescent="0.2">
      <c r="A1359" s="5">
        <v>1298</v>
      </c>
      <c r="B1359" s="138">
        <f>'Expenditures 15-22'!F210</f>
        <v>405405</v>
      </c>
      <c r="C1359" s="2" t="s">
        <v>594</v>
      </c>
      <c r="D1359" s="2" t="str">
        <f t="shared" si="20"/>
        <v>Error?</v>
      </c>
    </row>
    <row r="1360" spans="1:4" x14ac:dyDescent="0.2">
      <c r="A1360" s="5">
        <v>1299</v>
      </c>
      <c r="B1360" s="138">
        <f>'Expenditures 15-22'!G182</f>
        <v>866972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866972</v>
      </c>
      <c r="C1364" s="2" t="s">
        <v>594</v>
      </c>
      <c r="D1364" s="2" t="str">
        <f t="shared" si="20"/>
        <v>Error?</v>
      </c>
    </row>
    <row r="1365" spans="1:4" x14ac:dyDescent="0.2">
      <c r="A1365" s="5">
        <v>1304</v>
      </c>
      <c r="B1365" s="138">
        <f>'Expenditures 15-22'!G210</f>
        <v>866972</v>
      </c>
      <c r="C1365" s="2" t="s">
        <v>594</v>
      </c>
      <c r="D1365" s="2" t="str">
        <f t="shared" si="20"/>
        <v>Error?</v>
      </c>
    </row>
    <row r="1366" spans="1:4" x14ac:dyDescent="0.2">
      <c r="A1366" s="5">
        <v>1305</v>
      </c>
      <c r="B1366" s="138">
        <f>'Expenditures 15-22'!H182</f>
        <v>1650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2551</v>
      </c>
      <c r="D1369" s="2" t="str">
        <f t="shared" si="20"/>
        <v>Error?</v>
      </c>
    </row>
    <row r="1370" spans="1:4" x14ac:dyDescent="0.2">
      <c r="A1370" s="5">
        <v>1309</v>
      </c>
      <c r="B1370" s="138">
        <f>'Expenditures 15-22'!H184</f>
        <v>4201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4201</v>
      </c>
      <c r="C1376" s="2" t="s">
        <v>594</v>
      </c>
      <c r="D1376" s="2" t="str">
        <f t="shared" si="20"/>
        <v>Error?</v>
      </c>
    </row>
    <row r="1377" spans="1:4" x14ac:dyDescent="0.2">
      <c r="A1377" s="5">
        <v>1316</v>
      </c>
      <c r="B1377" s="138">
        <f>'Expenditures 15-22'!K182</f>
        <v>3222985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57546</v>
      </c>
      <c r="C1380" s="2" t="s">
        <v>594</v>
      </c>
      <c r="D1380" s="2" t="str">
        <f t="shared" si="20"/>
        <v>Error?</v>
      </c>
    </row>
    <row r="1381" spans="1:4" x14ac:dyDescent="0.2">
      <c r="A1381" s="5">
        <v>1320</v>
      </c>
      <c r="B1381" s="138">
        <f>'Expenditures 15-22'!K184</f>
        <v>3295895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3295895</v>
      </c>
      <c r="C1388" s="2" t="s">
        <v>594</v>
      </c>
      <c r="D1388" s="2" t="str">
        <f t="shared" si="20"/>
        <v>Error?</v>
      </c>
    </row>
    <row r="1389" spans="1:4" x14ac:dyDescent="0.2">
      <c r="A1389" s="5">
        <v>1328</v>
      </c>
      <c r="B1389" s="138">
        <f>'Expenditures 15-22'!K211</f>
        <v>231756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5398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9357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7408</v>
      </c>
      <c r="D1407" s="2" t="str">
        <f t="shared" ref="D1407:D1470" si="21">IF(ISBLANK(B1407),"OK",IF(A1407-B1407=0,"OK","Error?"))</f>
        <v>Error?</v>
      </c>
    </row>
    <row r="1408" spans="1:4" x14ac:dyDescent="0.2">
      <c r="A1408" s="5">
        <v>1347</v>
      </c>
      <c r="B1408" s="138">
        <f>'Expenditures 15-22'!D223</f>
        <v>19216</v>
      </c>
      <c r="D1408" s="2" t="str">
        <f t="shared" si="21"/>
        <v>Error?</v>
      </c>
    </row>
    <row r="1409" spans="1:4" x14ac:dyDescent="0.2">
      <c r="A1409" s="5">
        <v>1348</v>
      </c>
      <c r="B1409" s="138">
        <f>'Expenditures 15-22'!D224</f>
        <v>2977</v>
      </c>
      <c r="D1409" s="2" t="str">
        <f t="shared" si="21"/>
        <v>Error?</v>
      </c>
    </row>
    <row r="1410" spans="1:4" x14ac:dyDescent="0.2">
      <c r="A1410" s="5">
        <v>1349</v>
      </c>
      <c r="B1410" s="138">
        <f>'Expenditures 15-22'!D229</f>
        <v>451850</v>
      </c>
      <c r="C1410" s="2" t="s">
        <v>594</v>
      </c>
      <c r="D1410" s="2" t="str">
        <f t="shared" si="21"/>
        <v>Error?</v>
      </c>
    </row>
    <row r="1411" spans="1:4" x14ac:dyDescent="0.2">
      <c r="A1411" s="5">
        <v>1350</v>
      </c>
      <c r="B1411" s="138">
        <f>'Expenditures 15-22'!D232</f>
        <v>52998</v>
      </c>
      <c r="D1411" s="2" t="str">
        <f t="shared" si="21"/>
        <v>Error?</v>
      </c>
    </row>
    <row r="1412" spans="1:4" x14ac:dyDescent="0.2">
      <c r="A1412" s="5">
        <v>1351</v>
      </c>
      <c r="B1412" s="138">
        <f>'Expenditures 15-22'!D233</f>
        <v>13340</v>
      </c>
      <c r="D1412" s="2" t="str">
        <f t="shared" si="21"/>
        <v>Error?</v>
      </c>
    </row>
    <row r="1413" spans="1:4" x14ac:dyDescent="0.2">
      <c r="A1413" s="5">
        <v>1352</v>
      </c>
      <c r="B1413" s="138">
        <f>'Expenditures 15-22'!D234</f>
        <v>61370</v>
      </c>
      <c r="D1413" s="2" t="str">
        <f t="shared" si="21"/>
        <v>Error?</v>
      </c>
    </row>
    <row r="1414" spans="1:4" x14ac:dyDescent="0.2">
      <c r="A1414" s="5">
        <v>1353</v>
      </c>
      <c r="B1414" s="138">
        <f>'Expenditures 15-22'!D235</f>
        <v>3464</v>
      </c>
      <c r="D1414" s="2" t="str">
        <f t="shared" si="21"/>
        <v>Error?</v>
      </c>
    </row>
    <row r="1415" spans="1:4" x14ac:dyDescent="0.2">
      <c r="A1415" s="5">
        <v>1354</v>
      </c>
      <c r="B1415" s="138">
        <f>'Expenditures 15-22'!D236</f>
        <v>5447</v>
      </c>
      <c r="D1415" s="2" t="str">
        <f t="shared" si="21"/>
        <v>Error?</v>
      </c>
    </row>
    <row r="1416" spans="1:4" x14ac:dyDescent="0.2">
      <c r="A1416" s="5">
        <v>1355</v>
      </c>
      <c r="B1416" s="138">
        <f>'Expenditures 15-22'!D237</f>
        <v>20060</v>
      </c>
      <c r="D1416" s="2" t="str">
        <f t="shared" si="21"/>
        <v>Error?</v>
      </c>
    </row>
    <row r="1417" spans="1:4" x14ac:dyDescent="0.2">
      <c r="A1417" s="5">
        <v>1356</v>
      </c>
      <c r="B1417" s="138">
        <f>'Expenditures 15-22'!D238</f>
        <v>156679</v>
      </c>
      <c r="C1417" s="2" t="s">
        <v>594</v>
      </c>
      <c r="D1417" s="2" t="str">
        <f t="shared" si="21"/>
        <v>Error?</v>
      </c>
    </row>
    <row r="1418" spans="1:4" x14ac:dyDescent="0.2">
      <c r="A1418" s="5">
        <v>1357</v>
      </c>
      <c r="B1418" s="138">
        <f>'Expenditures 15-22'!D240</f>
        <v>33565</v>
      </c>
      <c r="D1418" s="2" t="str">
        <f t="shared" si="21"/>
        <v>Error?</v>
      </c>
    </row>
    <row r="1419" spans="1:4" x14ac:dyDescent="0.2">
      <c r="A1419" s="5">
        <v>1358</v>
      </c>
      <c r="B1419" s="138">
        <f>'Expenditures 15-22'!D241</f>
        <v>69500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103065</v>
      </c>
      <c r="C1421" s="2" t="s">
        <v>594</v>
      </c>
      <c r="D1421" s="2" t="str">
        <f t="shared" si="21"/>
        <v>Error?</v>
      </c>
    </row>
    <row r="1422" spans="1:4" x14ac:dyDescent="0.2">
      <c r="A1422" s="5">
        <v>1361</v>
      </c>
      <c r="B1422" s="138">
        <f>'Expenditures 15-22'!D245</f>
        <v>210</v>
      </c>
      <c r="D1422" s="2" t="str">
        <f t="shared" si="21"/>
        <v>Error?</v>
      </c>
    </row>
    <row r="1423" spans="1:4" x14ac:dyDescent="0.2">
      <c r="A1423" s="5">
        <v>1362</v>
      </c>
      <c r="B1423" s="138">
        <f>'Expenditures 15-22'!D246</f>
        <v>10662</v>
      </c>
      <c r="D1423" s="2" t="str">
        <f t="shared" si="21"/>
        <v>Error?</v>
      </c>
    </row>
    <row r="1424" spans="1:4" x14ac:dyDescent="0.2">
      <c r="A1424" s="5">
        <v>1363</v>
      </c>
      <c r="B1424" s="138">
        <f>'Expenditures 15-22'!D257</f>
        <v>19626</v>
      </c>
      <c r="C1424" s="2" t="s">
        <v>594</v>
      </c>
      <c r="D1424" s="2" t="str">
        <f t="shared" si="21"/>
        <v>Error?</v>
      </c>
    </row>
    <row r="1425" spans="1:4" x14ac:dyDescent="0.2">
      <c r="A1425" s="5">
        <v>1364</v>
      </c>
      <c r="B1425" s="138">
        <f>'Expenditures 15-22'!D259</f>
        <v>90608</v>
      </c>
      <c r="D1425" s="2" t="str">
        <f t="shared" si="21"/>
        <v>Error?</v>
      </c>
    </row>
    <row r="1426" spans="1:4" x14ac:dyDescent="0.2">
      <c r="A1426" s="5">
        <v>1365</v>
      </c>
      <c r="B1426" s="138">
        <f>'Expenditures 15-22'!D260</f>
        <v>14498</v>
      </c>
      <c r="D1426" s="2" t="str">
        <f t="shared" si="21"/>
        <v>Error?</v>
      </c>
    </row>
    <row r="1427" spans="1:4" x14ac:dyDescent="0.2">
      <c r="A1427" s="5">
        <v>1366</v>
      </c>
      <c r="B1427" s="138">
        <f>'Expenditures 15-22'!D261</f>
        <v>105106</v>
      </c>
      <c r="C1427" s="2" t="s">
        <v>594</v>
      </c>
      <c r="D1427" s="2" t="str">
        <f t="shared" si="21"/>
        <v>Error?</v>
      </c>
    </row>
    <row r="1428" spans="1:4" x14ac:dyDescent="0.2">
      <c r="A1428" s="5">
        <v>1367</v>
      </c>
      <c r="B1428" s="138">
        <f>'Expenditures 15-22'!D263</f>
        <v>8352</v>
      </c>
      <c r="D1428" s="2" t="str">
        <f t="shared" si="21"/>
        <v>Error?</v>
      </c>
    </row>
    <row r="1429" spans="1:4" x14ac:dyDescent="0.2">
      <c r="A1429" s="5">
        <v>1368</v>
      </c>
      <c r="B1429" s="138">
        <f>'Expenditures 15-22'!D264</f>
        <v>19718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246645</v>
      </c>
      <c r="D1431" s="2" t="str">
        <f t="shared" si="21"/>
        <v>Error?</v>
      </c>
    </row>
    <row r="1432" spans="1:4" x14ac:dyDescent="0.2">
      <c r="A1432" s="5">
        <v>1371</v>
      </c>
      <c r="B1432" s="138">
        <f>'Expenditures 15-22'!D267</f>
        <v>204649</v>
      </c>
      <c r="D1432" s="2" t="str">
        <f t="shared" si="21"/>
        <v>Error?</v>
      </c>
    </row>
    <row r="1433" spans="1:4" x14ac:dyDescent="0.2">
      <c r="A1433" s="5">
        <v>1372</v>
      </c>
      <c r="B1433" s="138">
        <f>'Expenditures 15-22'!D268</f>
        <v>86234</v>
      </c>
      <c r="D1433" s="2" t="str">
        <f t="shared" si="21"/>
        <v>Error?</v>
      </c>
    </row>
    <row r="1434" spans="1:4" x14ac:dyDescent="0.2">
      <c r="A1434" s="5">
        <v>1373</v>
      </c>
      <c r="B1434" s="138">
        <f>'Expenditures 15-22'!D269</f>
        <v>11078</v>
      </c>
      <c r="D1434" s="2" t="str">
        <f t="shared" si="21"/>
        <v>Error?</v>
      </c>
    </row>
    <row r="1435" spans="1:4" x14ac:dyDescent="0.2">
      <c r="A1435" s="10">
        <v>1374</v>
      </c>
      <c r="D1435" s="2" t="str">
        <f t="shared" si="21"/>
        <v>OK</v>
      </c>
    </row>
    <row r="1436" spans="1:4" x14ac:dyDescent="0.2">
      <c r="A1436" s="5">
        <v>1375</v>
      </c>
      <c r="B1436" s="138">
        <f>'Expenditures 15-22'!D270</f>
        <v>576676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10</v>
      </c>
      <c r="D1438" s="2" t="str">
        <f t="shared" si="21"/>
        <v>Error?</v>
      </c>
    </row>
    <row r="1439" spans="1:4" x14ac:dyDescent="0.2">
      <c r="A1439" s="5">
        <v>1378</v>
      </c>
      <c r="B1439" s="138">
        <f>'Expenditures 15-22'!D274</f>
        <v>9972</v>
      </c>
      <c r="D1439" s="2" t="str">
        <f t="shared" si="21"/>
        <v>Error?</v>
      </c>
    </row>
    <row r="1440" spans="1:4" x14ac:dyDescent="0.2">
      <c r="A1440" s="5">
        <v>1379</v>
      </c>
      <c r="B1440" s="138">
        <f>'Expenditures 15-22'!D275</f>
        <v>15263</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25245</v>
      </c>
      <c r="C1444" s="2" t="s">
        <v>594</v>
      </c>
      <c r="D1444" s="2" t="str">
        <f t="shared" si="21"/>
        <v>Error?</v>
      </c>
    </row>
    <row r="1445" spans="1:4" x14ac:dyDescent="0.2">
      <c r="A1445" s="5">
        <v>1384</v>
      </c>
      <c r="B1445" s="138">
        <f>'Expenditures 15-22'!D278</f>
        <v>22520</v>
      </c>
      <c r="D1445" s="2" t="str">
        <f t="shared" si="21"/>
        <v>Error?</v>
      </c>
    </row>
    <row r="1446" spans="1:4" x14ac:dyDescent="0.2">
      <c r="A1446" s="5">
        <v>1385</v>
      </c>
      <c r="B1446" s="138">
        <f>'Expenditures 15-22'!D279</f>
        <v>1008917</v>
      </c>
      <c r="C1446" s="2" t="s">
        <v>594</v>
      </c>
      <c r="D1446" s="2" t="str">
        <f t="shared" si="21"/>
        <v>Error?</v>
      </c>
    </row>
    <row r="1447" spans="1:4" x14ac:dyDescent="0.2">
      <c r="A1447" s="5">
        <v>1386</v>
      </c>
      <c r="B1447" s="138">
        <f>'Expenditures 15-22'!D280</f>
        <v>981</v>
      </c>
      <c r="D1447" s="2" t="str">
        <f t="shared" si="21"/>
        <v>Error?</v>
      </c>
    </row>
    <row r="1448" spans="1:4" x14ac:dyDescent="0.2">
      <c r="A1448" s="5">
        <v>1387</v>
      </c>
      <c r="B1448" s="138">
        <f>'Expenditures 15-22'!D295</f>
        <v>1461748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5398</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9357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7408</v>
      </c>
      <c r="C1471" s="2" t="s">
        <v>594</v>
      </c>
      <c r="D1471" s="2" t="str">
        <f t="shared" ref="D1471:D1534" si="22">IF(ISBLANK(B1471),"OK",IF(A1471-B1471=0,"OK","Error?"))</f>
        <v>Error?</v>
      </c>
    </row>
    <row r="1472" spans="1:4" x14ac:dyDescent="0.2">
      <c r="A1472" s="5">
        <v>1411</v>
      </c>
      <c r="B1472" s="138">
        <f>'Expenditures 15-22'!K223</f>
        <v>19216</v>
      </c>
      <c r="C1472" s="2" t="s">
        <v>594</v>
      </c>
      <c r="D1472" s="2" t="str">
        <f t="shared" si="22"/>
        <v>Error?</v>
      </c>
    </row>
    <row r="1473" spans="1:4" x14ac:dyDescent="0.2">
      <c r="A1473" s="5">
        <v>1412</v>
      </c>
      <c r="B1473" s="138">
        <f>'Expenditures 15-22'!K224</f>
        <v>2977</v>
      </c>
      <c r="C1473" s="2" t="s">
        <v>594</v>
      </c>
      <c r="D1473" s="2" t="str">
        <f t="shared" si="22"/>
        <v>Error?</v>
      </c>
    </row>
    <row r="1474" spans="1:4" x14ac:dyDescent="0.2">
      <c r="A1474" s="5">
        <v>1413</v>
      </c>
      <c r="B1474" s="138">
        <f>'Expenditures 15-22'!K229</f>
        <v>451850</v>
      </c>
      <c r="C1474" s="2" t="s">
        <v>594</v>
      </c>
      <c r="D1474" s="2" t="str">
        <f t="shared" si="22"/>
        <v>Error?</v>
      </c>
    </row>
    <row r="1475" spans="1:4" x14ac:dyDescent="0.2">
      <c r="A1475" s="5">
        <v>1414</v>
      </c>
      <c r="B1475" s="138">
        <f>'Expenditures 15-22'!K232</f>
        <v>52998</v>
      </c>
      <c r="C1475" s="2" t="s">
        <v>594</v>
      </c>
      <c r="D1475" s="2" t="str">
        <f t="shared" si="22"/>
        <v>Error?</v>
      </c>
    </row>
    <row r="1476" spans="1:4" x14ac:dyDescent="0.2">
      <c r="A1476" s="5">
        <v>1415</v>
      </c>
      <c r="B1476" s="138">
        <f>'Expenditures 15-22'!K233</f>
        <v>13340</v>
      </c>
      <c r="C1476" s="2" t="s">
        <v>594</v>
      </c>
      <c r="D1476" s="2" t="str">
        <f t="shared" si="22"/>
        <v>Error?</v>
      </c>
    </row>
    <row r="1477" spans="1:4" x14ac:dyDescent="0.2">
      <c r="A1477" s="5">
        <v>1416</v>
      </c>
      <c r="B1477" s="138">
        <f>'Expenditures 15-22'!K234</f>
        <v>61370</v>
      </c>
      <c r="C1477" s="2" t="s">
        <v>594</v>
      </c>
      <c r="D1477" s="2" t="str">
        <f t="shared" si="22"/>
        <v>Error?</v>
      </c>
    </row>
    <row r="1478" spans="1:4" x14ac:dyDescent="0.2">
      <c r="A1478" s="5">
        <v>1417</v>
      </c>
      <c r="B1478" s="138">
        <f>'Expenditures 15-22'!K235</f>
        <v>3464</v>
      </c>
      <c r="C1478" s="2" t="s">
        <v>594</v>
      </c>
      <c r="D1478" s="2" t="str">
        <f t="shared" si="22"/>
        <v>Error?</v>
      </c>
    </row>
    <row r="1479" spans="1:4" x14ac:dyDescent="0.2">
      <c r="A1479" s="5">
        <v>1418</v>
      </c>
      <c r="B1479" s="138">
        <f>'Expenditures 15-22'!K236</f>
        <v>5447</v>
      </c>
      <c r="C1479" s="2" t="s">
        <v>594</v>
      </c>
      <c r="D1479" s="2" t="str">
        <f t="shared" si="22"/>
        <v>Error?</v>
      </c>
    </row>
    <row r="1480" spans="1:4" x14ac:dyDescent="0.2">
      <c r="A1480" s="5">
        <v>1419</v>
      </c>
      <c r="B1480" s="138">
        <f>'Expenditures 15-22'!K237</f>
        <v>20060</v>
      </c>
      <c r="C1480" s="2" t="s">
        <v>594</v>
      </c>
      <c r="D1480" s="2" t="str">
        <f t="shared" si="22"/>
        <v>Error?</v>
      </c>
    </row>
    <row r="1481" spans="1:4" x14ac:dyDescent="0.2">
      <c r="A1481" s="5">
        <v>1420</v>
      </c>
      <c r="B1481" s="138">
        <f>'Expenditures 15-22'!K238</f>
        <v>156679</v>
      </c>
      <c r="C1481" s="2" t="s">
        <v>594</v>
      </c>
      <c r="D1481" s="2" t="str">
        <f t="shared" si="22"/>
        <v>Error?</v>
      </c>
    </row>
    <row r="1482" spans="1:4" x14ac:dyDescent="0.2">
      <c r="A1482" s="5">
        <v>1421</v>
      </c>
      <c r="B1482" s="138">
        <f>'Expenditures 15-22'!K240</f>
        <v>33565</v>
      </c>
      <c r="C1482" s="2" t="s">
        <v>594</v>
      </c>
      <c r="D1482" s="2" t="str">
        <f t="shared" si="22"/>
        <v>Error?</v>
      </c>
    </row>
    <row r="1483" spans="1:4" x14ac:dyDescent="0.2">
      <c r="A1483" s="5">
        <v>1422</v>
      </c>
      <c r="B1483" s="138">
        <f>'Expenditures 15-22'!K241</f>
        <v>69500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103065</v>
      </c>
      <c r="C1485" s="2" t="s">
        <v>594</v>
      </c>
      <c r="D1485" s="2" t="str">
        <f t="shared" si="22"/>
        <v>Error?</v>
      </c>
    </row>
    <row r="1486" spans="1:4" x14ac:dyDescent="0.2">
      <c r="A1486" s="5">
        <v>1425</v>
      </c>
      <c r="B1486" s="138">
        <f>'Expenditures 15-22'!K245</f>
        <v>210</v>
      </c>
      <c r="C1486" s="2" t="s">
        <v>594</v>
      </c>
      <c r="D1486" s="2" t="str">
        <f t="shared" si="22"/>
        <v>Error?</v>
      </c>
    </row>
    <row r="1487" spans="1:4" x14ac:dyDescent="0.2">
      <c r="A1487" s="5">
        <v>1426</v>
      </c>
      <c r="B1487" s="138">
        <f>'Expenditures 15-22'!K246</f>
        <v>10662</v>
      </c>
      <c r="C1487" s="2" t="s">
        <v>594</v>
      </c>
      <c r="D1487" s="2" t="str">
        <f t="shared" si="22"/>
        <v>Error?</v>
      </c>
    </row>
    <row r="1488" spans="1:4" x14ac:dyDescent="0.2">
      <c r="A1488" s="5">
        <v>1427</v>
      </c>
      <c r="B1488" s="138">
        <f>'Expenditures 15-22'!K257</f>
        <v>19626</v>
      </c>
      <c r="C1488" s="2" t="s">
        <v>594</v>
      </c>
      <c r="D1488" s="2" t="str">
        <f t="shared" si="22"/>
        <v>Error?</v>
      </c>
    </row>
    <row r="1489" spans="1:4" x14ac:dyDescent="0.2">
      <c r="A1489" s="5">
        <v>1428</v>
      </c>
      <c r="B1489" s="138">
        <f>'Expenditures 15-22'!K259</f>
        <v>90608</v>
      </c>
      <c r="C1489" s="2" t="s">
        <v>594</v>
      </c>
      <c r="D1489" s="2" t="str">
        <f t="shared" si="22"/>
        <v>Error?</v>
      </c>
    </row>
    <row r="1490" spans="1:4" x14ac:dyDescent="0.2">
      <c r="A1490" s="5">
        <v>1429</v>
      </c>
      <c r="B1490" s="138">
        <f>'Expenditures 15-22'!K260</f>
        <v>14498</v>
      </c>
      <c r="C1490" s="2" t="s">
        <v>594</v>
      </c>
      <c r="D1490" s="2" t="str">
        <f t="shared" si="22"/>
        <v>Error?</v>
      </c>
    </row>
    <row r="1491" spans="1:4" x14ac:dyDescent="0.2">
      <c r="A1491" s="5">
        <v>1430</v>
      </c>
      <c r="B1491" s="138">
        <f>'Expenditures 15-22'!K261</f>
        <v>105106</v>
      </c>
      <c r="C1491" s="2" t="s">
        <v>594</v>
      </c>
      <c r="D1491" s="2" t="str">
        <f t="shared" si="22"/>
        <v>Error?</v>
      </c>
    </row>
    <row r="1492" spans="1:4" x14ac:dyDescent="0.2">
      <c r="A1492" s="5">
        <v>1431</v>
      </c>
      <c r="B1492" s="138">
        <f>'Expenditures 15-22'!K263</f>
        <v>8352</v>
      </c>
      <c r="C1492" s="2" t="s">
        <v>594</v>
      </c>
      <c r="D1492" s="2" t="str">
        <f t="shared" si="22"/>
        <v>Error?</v>
      </c>
    </row>
    <row r="1493" spans="1:4" x14ac:dyDescent="0.2">
      <c r="A1493" s="5">
        <v>1432</v>
      </c>
      <c r="B1493" s="138">
        <f>'Expenditures 15-22'!K264</f>
        <v>19718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246645</v>
      </c>
      <c r="C1495" s="2" t="s">
        <v>594</v>
      </c>
      <c r="D1495" s="2" t="str">
        <f t="shared" si="22"/>
        <v>Error?</v>
      </c>
    </row>
    <row r="1496" spans="1:4" x14ac:dyDescent="0.2">
      <c r="A1496" s="5">
        <v>1435</v>
      </c>
      <c r="B1496" s="138">
        <f>'Expenditures 15-22'!K267</f>
        <v>204649</v>
      </c>
      <c r="C1496" s="2" t="s">
        <v>594</v>
      </c>
      <c r="D1496" s="2" t="str">
        <f t="shared" si="22"/>
        <v>Error?</v>
      </c>
    </row>
    <row r="1497" spans="1:4" x14ac:dyDescent="0.2">
      <c r="A1497" s="5">
        <v>1436</v>
      </c>
      <c r="B1497" s="138">
        <f>'Expenditures 15-22'!K268</f>
        <v>86234</v>
      </c>
      <c r="C1497" s="2" t="s">
        <v>594</v>
      </c>
      <c r="D1497" s="2" t="str">
        <f t="shared" si="22"/>
        <v>Error?</v>
      </c>
    </row>
    <row r="1498" spans="1:4" x14ac:dyDescent="0.2">
      <c r="A1498" s="5">
        <v>1437</v>
      </c>
      <c r="B1498" s="138">
        <f>'Expenditures 15-22'!K269</f>
        <v>11078</v>
      </c>
      <c r="C1498" s="2" t="s">
        <v>594</v>
      </c>
      <c r="D1498" s="2" t="str">
        <f t="shared" si="22"/>
        <v>Error?</v>
      </c>
    </row>
    <row r="1499" spans="1:4" x14ac:dyDescent="0.2">
      <c r="A1499" s="10">
        <v>1438</v>
      </c>
      <c r="D1499" s="2" t="str">
        <f t="shared" si="22"/>
        <v>OK</v>
      </c>
    </row>
    <row r="1500" spans="1:4" x14ac:dyDescent="0.2">
      <c r="A1500" s="5">
        <v>1439</v>
      </c>
      <c r="B1500" s="138">
        <f>'Expenditures 15-22'!K270</f>
        <v>576676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10</v>
      </c>
      <c r="C1502" s="2" t="s">
        <v>594</v>
      </c>
      <c r="D1502" s="2" t="str">
        <f t="shared" si="22"/>
        <v>Error?</v>
      </c>
    </row>
    <row r="1503" spans="1:4" x14ac:dyDescent="0.2">
      <c r="A1503" s="5">
        <v>1442</v>
      </c>
      <c r="B1503" s="138">
        <f>'Expenditures 15-22'!K274</f>
        <v>9972</v>
      </c>
      <c r="C1503" s="2" t="s">
        <v>594</v>
      </c>
      <c r="D1503" s="2" t="str">
        <f t="shared" si="22"/>
        <v>Error?</v>
      </c>
    </row>
    <row r="1504" spans="1:4" x14ac:dyDescent="0.2">
      <c r="A1504" s="5">
        <v>1443</v>
      </c>
      <c r="B1504" s="138">
        <f>'Expenditures 15-22'!K275</f>
        <v>15263</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25245</v>
      </c>
      <c r="C1508" s="2" t="s">
        <v>594</v>
      </c>
      <c r="D1508" s="2" t="str">
        <f t="shared" si="22"/>
        <v>Error?</v>
      </c>
    </row>
    <row r="1509" spans="1:4" x14ac:dyDescent="0.2">
      <c r="A1509" s="5">
        <v>1448</v>
      </c>
      <c r="B1509" s="138">
        <f>'Expenditures 15-22'!K278</f>
        <v>22520</v>
      </c>
      <c r="C1509" s="2" t="s">
        <v>594</v>
      </c>
      <c r="D1509" s="2" t="str">
        <f t="shared" si="22"/>
        <v>Error?</v>
      </c>
    </row>
    <row r="1510" spans="1:4" x14ac:dyDescent="0.2">
      <c r="A1510" s="5">
        <v>1449</v>
      </c>
      <c r="B1510" s="138">
        <f>'Expenditures 15-22'!K279</f>
        <v>1008917</v>
      </c>
      <c r="C1510" s="2" t="s">
        <v>594</v>
      </c>
      <c r="D1510" s="2" t="str">
        <f t="shared" si="22"/>
        <v>Error?</v>
      </c>
    </row>
    <row r="1511" spans="1:4" x14ac:dyDescent="0.2">
      <c r="A1511" s="5">
        <v>1450</v>
      </c>
      <c r="B1511" s="138">
        <f>'Expenditures 15-22'!K280</f>
        <v>981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1461748</v>
      </c>
      <c r="C1517" s="2" t="s">
        <v>594</v>
      </c>
      <c r="D1517" s="2" t="str">
        <f t="shared" si="22"/>
        <v>Error?</v>
      </c>
    </row>
    <row r="1518" spans="1:4" x14ac:dyDescent="0.2">
      <c r="A1518" s="5">
        <v>1457</v>
      </c>
      <c r="B1518" s="138">
        <f>'Expenditures 15-22'!K296</f>
        <v>372613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-249374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5725615</v>
      </c>
      <c r="C1630" s="2" t="s">
        <v>594</v>
      </c>
      <c r="D1630" s="2" t="str">
        <f t="shared" si="24"/>
        <v>Error?</v>
      </c>
    </row>
    <row r="1631" spans="1:4" x14ac:dyDescent="0.2">
      <c r="A1631" s="5">
        <v>1570</v>
      </c>
      <c r="B1631" s="138">
        <f>'Acct Summary 7-8'!D79</f>
        <v>3044178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14666533</v>
      </c>
      <c r="C1644" s="2" t="s">
        <v>594</v>
      </c>
      <c r="D1644" s="2" t="str">
        <f t="shared" si="24"/>
        <v>Error?</v>
      </c>
    </row>
    <row r="1645" spans="1:4" x14ac:dyDescent="0.2">
      <c r="A1645" s="5">
        <v>1584</v>
      </c>
      <c r="B1645" s="138">
        <f>'Acct Summary 7-8'!E79</f>
        <v>2547272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2284810</v>
      </c>
      <c r="C1658" s="2" t="s">
        <v>594</v>
      </c>
      <c r="D1658" s="2" t="str">
        <f t="shared" si="24"/>
        <v>Error?</v>
      </c>
    </row>
    <row r="1659" spans="1:4" x14ac:dyDescent="0.2">
      <c r="A1659" s="5">
        <v>1598</v>
      </c>
      <c r="B1659" s="138">
        <f>'Acct Summary 7-8'!F79</f>
        <v>3865308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4097064</v>
      </c>
      <c r="C1672" s="2" t="s">
        <v>594</v>
      </c>
      <c r="D1672" s="2" t="str">
        <f t="shared" si="25"/>
        <v>Error?</v>
      </c>
    </row>
    <row r="1673" spans="1:4" x14ac:dyDescent="0.2">
      <c r="A1673" s="5">
        <v>1612</v>
      </c>
      <c r="B1673" s="138">
        <f>'Acct Summary 7-8'!G79</f>
        <v>1812106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2184719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11598766</v>
      </c>
      <c r="C1744" s="2" t="s">
        <v>594</v>
      </c>
      <c r="D1744" s="2" t="str">
        <f t="shared" si="26"/>
        <v>Error?</v>
      </c>
    </row>
    <row r="1745" spans="1:5" x14ac:dyDescent="0.2">
      <c r="A1745" s="5">
        <v>1684</v>
      </c>
      <c r="B1745" s="138">
        <f>'Tax Sched 23'!B5</f>
        <v>2178739</v>
      </c>
      <c r="C1745" s="2" t="s">
        <v>594</v>
      </c>
      <c r="D1745" s="2" t="str">
        <f t="shared" si="26"/>
        <v>Error?</v>
      </c>
    </row>
    <row r="1746" spans="1:5" x14ac:dyDescent="0.2">
      <c r="A1746" s="5">
        <v>1685</v>
      </c>
      <c r="B1746" s="138">
        <f>'Tax Sched 23'!B6</f>
        <v>2597609</v>
      </c>
      <c r="C1746" s="2" t="s">
        <v>594</v>
      </c>
      <c r="D1746" s="2" t="str">
        <f t="shared" si="26"/>
        <v>Error?</v>
      </c>
    </row>
    <row r="1747" spans="1:5" x14ac:dyDescent="0.2">
      <c r="A1747" s="5">
        <v>1686</v>
      </c>
      <c r="B1747" s="138">
        <f>'Tax Sched 23'!B7</f>
        <v>1592893</v>
      </c>
      <c r="C1747" s="2" t="s">
        <v>594</v>
      </c>
      <c r="D1747" s="2" t="str">
        <f t="shared" si="26"/>
        <v>Error?</v>
      </c>
    </row>
    <row r="1748" spans="1:5" x14ac:dyDescent="0.2">
      <c r="A1748" s="5">
        <v>1687</v>
      </c>
      <c r="B1748" s="138">
        <f>'Tax Sched 23'!B8</f>
        <v>741456</v>
      </c>
      <c r="C1748" s="2" t="s">
        <v>594</v>
      </c>
      <c r="D1748" s="2" t="str">
        <f t="shared" si="26"/>
        <v>Error?</v>
      </c>
    </row>
    <row r="1749" spans="1:5" x14ac:dyDescent="0.2">
      <c r="A1749" s="5">
        <v>1688</v>
      </c>
      <c r="B1749" s="138">
        <f>'Tax Sched 23'!B10</f>
        <v>99537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716553</v>
      </c>
      <c r="C1752" s="2" t="s">
        <v>594</v>
      </c>
      <c r="D1752" s="2" t="str">
        <f t="shared" si="26"/>
        <v>Error?</v>
      </c>
    </row>
    <row r="1753" spans="1:5" x14ac:dyDescent="0.2">
      <c r="A1753" s="5">
        <v>1692</v>
      </c>
      <c r="B1753" s="138">
        <f>'Tax Sched 23'!B12</f>
        <v>149324</v>
      </c>
      <c r="C1753" s="2" t="s">
        <v>594</v>
      </c>
      <c r="D1753" s="2" t="str">
        <f t="shared" si="26"/>
        <v>Error?</v>
      </c>
    </row>
    <row r="1754" spans="1:5" x14ac:dyDescent="0.2">
      <c r="A1754" s="5">
        <v>1693</v>
      </c>
      <c r="B1754" s="138">
        <f>'Tax Sched 23'!B14</f>
        <v>2074724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22884235</v>
      </c>
      <c r="C1759" s="2" t="s">
        <v>594</v>
      </c>
      <c r="D1759" s="2" t="str">
        <f t="shared" si="26"/>
        <v>Error?</v>
      </c>
    </row>
    <row r="1760" spans="1:5" x14ac:dyDescent="0.2">
      <c r="A1760" s="5">
        <v>1699</v>
      </c>
      <c r="B1760" s="138">
        <f>'Tax Sched 23'!D4</f>
        <v>10061604</v>
      </c>
      <c r="C1760" s="2" t="s">
        <v>594</v>
      </c>
      <c r="D1760" s="2" t="str">
        <f t="shared" si="26"/>
        <v>Error?</v>
      </c>
    </row>
    <row r="1761" spans="1:5" x14ac:dyDescent="0.2">
      <c r="A1761" s="5">
        <v>1700</v>
      </c>
      <c r="B1761" s="138">
        <f>'Tax Sched 23'!D5</f>
        <v>1893841</v>
      </c>
      <c r="C1761" s="2" t="s">
        <v>594</v>
      </c>
      <c r="D1761" s="2" t="str">
        <f t="shared" si="26"/>
        <v>Error?</v>
      </c>
    </row>
    <row r="1762" spans="1:5" s="8" customFormat="1" x14ac:dyDescent="0.2">
      <c r="A1762" s="5">
        <v>1701</v>
      </c>
      <c r="B1762" s="138">
        <f>'Tax Sched 23'!D6</f>
        <v>2257777</v>
      </c>
      <c r="C1762" s="2" t="s">
        <v>594</v>
      </c>
      <c r="D1762" s="2" t="str">
        <f t="shared" si="26"/>
        <v>Error?</v>
      </c>
      <c r="E1762" s="9"/>
    </row>
    <row r="1763" spans="1:5" x14ac:dyDescent="0.2">
      <c r="A1763" s="5">
        <v>1702</v>
      </c>
      <c r="B1763" s="138">
        <f>'Tax Sched 23'!D7</f>
        <v>1371557</v>
      </c>
      <c r="C1763" s="2" t="s">
        <v>594</v>
      </c>
      <c r="D1763" s="2" t="str">
        <f t="shared" si="26"/>
        <v>Error?</v>
      </c>
    </row>
    <row r="1764" spans="1:5" x14ac:dyDescent="0.2">
      <c r="A1764" s="5">
        <v>1703</v>
      </c>
      <c r="B1764" s="138">
        <f>'Tax Sched 23'!D8</f>
        <v>645112</v>
      </c>
      <c r="C1764" s="2" t="s">
        <v>594</v>
      </c>
      <c r="D1764" s="2" t="str">
        <f t="shared" si="26"/>
        <v>Error?</v>
      </c>
    </row>
    <row r="1765" spans="1:5" x14ac:dyDescent="0.2">
      <c r="A1765" s="5">
        <v>1704</v>
      </c>
      <c r="B1765" s="138">
        <f>'Tax Sched 23'!D10</f>
        <v>86516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624111</v>
      </c>
      <c r="C1768" s="2" t="s">
        <v>594</v>
      </c>
      <c r="D1768" s="2" t="str">
        <f t="shared" si="26"/>
        <v>Error?</v>
      </c>
    </row>
    <row r="1769" spans="1:5" x14ac:dyDescent="0.2">
      <c r="A1769" s="5">
        <v>1708</v>
      </c>
      <c r="B1769" s="138">
        <f>'Tax Sched 23'!D12</f>
        <v>129791</v>
      </c>
      <c r="C1769" s="2" t="s">
        <v>594</v>
      </c>
      <c r="D1769" s="2" t="str">
        <f t="shared" si="26"/>
        <v>Error?</v>
      </c>
    </row>
    <row r="1770" spans="1:5" x14ac:dyDescent="0.2">
      <c r="A1770" s="5">
        <v>1709</v>
      </c>
      <c r="B1770" s="138">
        <f>'Tax Sched 23'!D14</f>
        <v>1814331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19870846</v>
      </c>
      <c r="C1775" s="2" t="s">
        <v>594</v>
      </c>
      <c r="D1775" s="2" t="str">
        <f t="shared" si="26"/>
        <v>Error?</v>
      </c>
    </row>
    <row r="1776" spans="1:5" x14ac:dyDescent="0.2">
      <c r="A1776" s="5">
        <v>1715</v>
      </c>
      <c r="B1776" s="138">
        <f>'Tax Sched 23'!C4</f>
        <v>1537162</v>
      </c>
      <c r="D1776" s="2" t="str">
        <f t="shared" si="26"/>
        <v>Error?</v>
      </c>
    </row>
    <row r="1777" spans="1:4" x14ac:dyDescent="0.2">
      <c r="A1777" s="5">
        <v>1716</v>
      </c>
      <c r="B1777" s="138">
        <f>'Tax Sched 23'!C5</f>
        <v>284898</v>
      </c>
      <c r="D1777" s="2" t="str">
        <f t="shared" si="26"/>
        <v>Error?</v>
      </c>
    </row>
    <row r="1778" spans="1:4" x14ac:dyDescent="0.2">
      <c r="A1778" s="5">
        <v>1717</v>
      </c>
      <c r="B1778" s="138">
        <f>'Tax Sched 23'!C6</f>
        <v>339832</v>
      </c>
      <c r="D1778" s="2" t="str">
        <f t="shared" si="26"/>
        <v>Error?</v>
      </c>
    </row>
    <row r="1779" spans="1:4" x14ac:dyDescent="0.2">
      <c r="A1779" s="5">
        <v>1718</v>
      </c>
      <c r="B1779" s="138">
        <f>'Tax Sched 23'!C7</f>
        <v>221336</v>
      </c>
      <c r="D1779" s="2" t="str">
        <f t="shared" si="26"/>
        <v>Error?</v>
      </c>
    </row>
    <row r="1780" spans="1:4" x14ac:dyDescent="0.2">
      <c r="A1780" s="5">
        <v>1719</v>
      </c>
      <c r="B1780" s="138">
        <f>'Tax Sched 23'!C8</f>
        <v>96344</v>
      </c>
      <c r="D1780" s="2" t="str">
        <f t="shared" si="26"/>
        <v>Error?</v>
      </c>
    </row>
    <row r="1781" spans="1:4" x14ac:dyDescent="0.2">
      <c r="A1781" s="5">
        <v>1720</v>
      </c>
      <c r="B1781" s="138">
        <f>'Tax Sched 23'!C10</f>
        <v>13021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92442</v>
      </c>
      <c r="D1784" s="2" t="str">
        <f t="shared" si="26"/>
        <v>Error?</v>
      </c>
    </row>
    <row r="1785" spans="1:4" x14ac:dyDescent="0.2">
      <c r="A1785" s="5">
        <v>1724</v>
      </c>
      <c r="B1785" s="138">
        <f>'Tax Sched 23'!C12</f>
        <v>19533</v>
      </c>
      <c r="D1785" s="2" t="str">
        <f t="shared" si="26"/>
        <v>Error?</v>
      </c>
    </row>
    <row r="1786" spans="1:4" x14ac:dyDescent="0.2">
      <c r="A1786" s="5">
        <v>1725</v>
      </c>
      <c r="B1786" s="138">
        <f>'Tax Sched 23'!C14</f>
        <v>260393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3013389</v>
      </c>
      <c r="C1791" s="2" t="s">
        <v>594</v>
      </c>
      <c r="D1791" s="2" t="str">
        <f t="shared" ref="D1791:D1854" si="27">IF(ISBLANK(B1791),"OK",IF(A1791-B1791=0,"OK","Error?"))</f>
        <v>Error?</v>
      </c>
    </row>
    <row r="1792" spans="1:4" x14ac:dyDescent="0.2">
      <c r="A1792" s="5">
        <v>1731</v>
      </c>
      <c r="B1792" s="138">
        <f>'Tax Sched 23'!F4</f>
        <v>10269299</v>
      </c>
      <c r="C1792" s="2" t="s">
        <v>594</v>
      </c>
      <c r="D1792" s="2" t="str">
        <f t="shared" si="27"/>
        <v>Error?</v>
      </c>
    </row>
    <row r="1793" spans="1:4" x14ac:dyDescent="0.2">
      <c r="A1793" s="5">
        <v>1732</v>
      </c>
      <c r="B1793" s="138">
        <f>'Tax Sched 23'!F5</f>
        <v>1903326</v>
      </c>
      <c r="C1793" s="2" t="s">
        <v>594</v>
      </c>
      <c r="D1793" s="2" t="str">
        <f t="shared" si="27"/>
        <v>Error?</v>
      </c>
    </row>
    <row r="1794" spans="1:4" x14ac:dyDescent="0.2">
      <c r="A1794" s="5">
        <v>1733</v>
      </c>
      <c r="B1794" s="138">
        <f>'Tax Sched 23'!F6</f>
        <v>2270311</v>
      </c>
      <c r="C1794" s="2" t="s">
        <v>594</v>
      </c>
      <c r="D1794" s="2" t="str">
        <f t="shared" si="27"/>
        <v>Error?</v>
      </c>
    </row>
    <row r="1795" spans="1:4" x14ac:dyDescent="0.2">
      <c r="A1795" s="5">
        <v>1734</v>
      </c>
      <c r="B1795" s="138">
        <f>'Tax Sched 23'!F7</f>
        <v>1478681</v>
      </c>
      <c r="C1795" s="2" t="s">
        <v>594</v>
      </c>
      <c r="D1795" s="2" t="str">
        <f t="shared" si="27"/>
        <v>Error?</v>
      </c>
    </row>
    <row r="1796" spans="1:4" x14ac:dyDescent="0.2">
      <c r="A1796" s="5">
        <v>1735</v>
      </c>
      <c r="B1796" s="138">
        <f>'Tax Sched 23'!F8</f>
        <v>643655</v>
      </c>
      <c r="C1796" s="2" t="s">
        <v>594</v>
      </c>
      <c r="D1796" s="2" t="str">
        <f t="shared" si="27"/>
        <v>Error?</v>
      </c>
    </row>
    <row r="1797" spans="1:4" x14ac:dyDescent="0.2">
      <c r="A1797" s="5">
        <v>1736</v>
      </c>
      <c r="B1797" s="138">
        <f>'Tax Sched 23'!F10</f>
        <v>86995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617564</v>
      </c>
      <c r="C1800" s="2" t="s">
        <v>594</v>
      </c>
      <c r="D1800" s="2" t="str">
        <f t="shared" si="27"/>
        <v>Error?</v>
      </c>
    </row>
    <row r="1801" spans="1:4" x14ac:dyDescent="0.2">
      <c r="A1801" s="5">
        <v>1740</v>
      </c>
      <c r="B1801" s="138">
        <f>'Tax Sched 23'!F12</f>
        <v>130492</v>
      </c>
      <c r="C1801" s="2" t="s">
        <v>594</v>
      </c>
      <c r="D1801" s="2" t="str">
        <f t="shared" si="27"/>
        <v>Error?</v>
      </c>
    </row>
    <row r="1802" spans="1:4" x14ac:dyDescent="0.2">
      <c r="A1802" s="5">
        <v>1741</v>
      </c>
      <c r="B1802" s="138">
        <f>'Tax Sched 23'!F14</f>
        <v>1739615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20131546</v>
      </c>
      <c r="C1807" s="2" t="s">
        <v>594</v>
      </c>
      <c r="D1807" s="2" t="str">
        <f t="shared" si="27"/>
        <v>Error?</v>
      </c>
    </row>
    <row r="1808" spans="1:4" x14ac:dyDescent="0.2">
      <c r="A1808" s="5">
        <v>1747</v>
      </c>
      <c r="B1808" s="138">
        <f>'Tax Sched 23'!E4</f>
        <v>11806461</v>
      </c>
      <c r="D1808" s="2" t="str">
        <f t="shared" si="27"/>
        <v>Error?</v>
      </c>
    </row>
    <row r="1809" spans="1:4" x14ac:dyDescent="0.2">
      <c r="A1809" s="5">
        <v>1748</v>
      </c>
      <c r="B1809" s="138">
        <f>'Tax Sched 23'!E5</f>
        <v>2188224</v>
      </c>
      <c r="D1809" s="2" t="str">
        <f t="shared" si="27"/>
        <v>Error?</v>
      </c>
    </row>
    <row r="1810" spans="1:4" x14ac:dyDescent="0.2">
      <c r="A1810" s="5">
        <v>1749</v>
      </c>
      <c r="B1810" s="138">
        <f>'Tax Sched 23'!E6</f>
        <v>2610143</v>
      </c>
      <c r="D1810" s="2" t="str">
        <f t="shared" si="27"/>
        <v>Error?</v>
      </c>
    </row>
    <row r="1811" spans="1:4" x14ac:dyDescent="0.2">
      <c r="A1811" s="5">
        <v>1750</v>
      </c>
      <c r="B1811" s="138">
        <f>'Tax Sched 23'!E7</f>
        <v>1700017</v>
      </c>
      <c r="D1811" s="2" t="str">
        <f t="shared" si="27"/>
        <v>Error?</v>
      </c>
    </row>
    <row r="1812" spans="1:4" x14ac:dyDescent="0.2">
      <c r="A1812" s="5">
        <v>1751</v>
      </c>
      <c r="B1812" s="138">
        <f>'Tax Sched 23'!E8</f>
        <v>739999</v>
      </c>
      <c r="D1812" s="2" t="str">
        <f t="shared" si="27"/>
        <v>Error?</v>
      </c>
    </row>
    <row r="1813" spans="1:4" x14ac:dyDescent="0.2">
      <c r="A1813" s="5">
        <v>1752</v>
      </c>
      <c r="B1813" s="138">
        <f>'Tax Sched 23'!E10</f>
        <v>100016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710006</v>
      </c>
      <c r="D1816" s="2" t="str">
        <f t="shared" si="27"/>
        <v>Error?</v>
      </c>
    </row>
    <row r="1817" spans="1:4" x14ac:dyDescent="0.2">
      <c r="A1817" s="5">
        <v>1756</v>
      </c>
      <c r="B1817" s="138">
        <f>'Tax Sched 23'!E12</f>
        <v>150025</v>
      </c>
      <c r="D1817" s="2" t="str">
        <f t="shared" si="27"/>
        <v>Error?</v>
      </c>
    </row>
    <row r="1818" spans="1:4" x14ac:dyDescent="0.2">
      <c r="A1818" s="5">
        <v>1757</v>
      </c>
      <c r="B1818" s="138">
        <f>'Tax Sched 23'!E14</f>
        <v>2000008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23144935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18048434</v>
      </c>
      <c r="C1939" s="2" t="s">
        <v>594</v>
      </c>
      <c r="D1939" s="2" t="str">
        <f t="shared" si="29"/>
        <v>Error?</v>
      </c>
    </row>
    <row r="1940" spans="1:5" x14ac:dyDescent="0.2">
      <c r="A1940" s="5">
        <v>1879</v>
      </c>
      <c r="B1940" s="138">
        <f>'Short-Term Long-Term Debt 24'!F49</f>
        <v>17810000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2074724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2074724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2074724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822541</v>
      </c>
      <c r="D2008" s="2" t="str">
        <f t="shared" si="30"/>
        <v>Error?</v>
      </c>
    </row>
    <row r="2009" spans="1:4" x14ac:dyDescent="0.2">
      <c r="A2009" s="5">
        <v>1948</v>
      </c>
      <c r="B2009" s="138">
        <f>'Cap Outlay Deprec 26'!C8</f>
        <v>47057537</v>
      </c>
      <c r="D2009" s="2" t="str">
        <f t="shared" si="30"/>
        <v>Error?</v>
      </c>
    </row>
    <row r="2010" spans="1:4" x14ac:dyDescent="0.2">
      <c r="A2010" s="5">
        <v>1949</v>
      </c>
      <c r="B2010" s="138">
        <f>'Cap Outlay Deprec 26'!C10</f>
        <v>2131047</v>
      </c>
      <c r="D2010" s="2" t="str">
        <f t="shared" si="30"/>
        <v>Error?</v>
      </c>
    </row>
    <row r="2011" spans="1:4" x14ac:dyDescent="0.2">
      <c r="A2011" s="5">
        <v>1950</v>
      </c>
      <c r="B2011" s="138">
        <f>'Cap Outlay Deprec 26'!C12</f>
        <v>2251330</v>
      </c>
      <c r="D2011" s="2" t="str">
        <f t="shared" si="30"/>
        <v>Error?</v>
      </c>
    </row>
    <row r="2012" spans="1:4" x14ac:dyDescent="0.2">
      <c r="A2012" s="5">
        <v>1951</v>
      </c>
      <c r="B2012" s="138">
        <f>'Cap Outlay Deprec 26'!C13</f>
        <v>2057350</v>
      </c>
      <c r="D2012" s="2" t="str">
        <f t="shared" si="30"/>
        <v>Error?</v>
      </c>
    </row>
    <row r="2013" spans="1:4" x14ac:dyDescent="0.2">
      <c r="A2013" s="5">
        <v>1952</v>
      </c>
      <c r="B2013" s="138">
        <f>'Cap Outlay Deprec 26'!C16</f>
        <v>54319805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188112</v>
      </c>
      <c r="D2017" s="2" t="str">
        <f t="shared" si="30"/>
        <v>Error?</v>
      </c>
    </row>
    <row r="2018" spans="1:4" x14ac:dyDescent="0.2">
      <c r="A2018" s="5">
        <v>1957</v>
      </c>
      <c r="B2018" s="138">
        <f>'Cap Outlay Deprec 26'!D13</f>
        <v>508864</v>
      </c>
      <c r="D2018" s="2" t="str">
        <f t="shared" si="30"/>
        <v>Error?</v>
      </c>
    </row>
    <row r="2019" spans="1:4" x14ac:dyDescent="0.2">
      <c r="A2019" s="5">
        <v>1958</v>
      </c>
      <c r="B2019" s="138">
        <f>'Cap Outlay Deprec 26'!D16</f>
        <v>696976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277445</v>
      </c>
      <c r="D2024" s="2" t="str">
        <f t="shared" si="30"/>
        <v>Error?</v>
      </c>
    </row>
    <row r="2025" spans="1:4" x14ac:dyDescent="0.2">
      <c r="A2025" s="5">
        <v>1964</v>
      </c>
      <c r="B2025" s="138">
        <f>'Cap Outlay Deprec 26'!E16</f>
        <v>277445</v>
      </c>
      <c r="C2025" s="2" t="s">
        <v>594</v>
      </c>
      <c r="D2025" s="2" t="str">
        <f t="shared" si="30"/>
        <v>Error?</v>
      </c>
    </row>
    <row r="2026" spans="1:4" x14ac:dyDescent="0.2">
      <c r="A2026" s="5">
        <v>1965</v>
      </c>
      <c r="B2026" s="138">
        <f>'Cap Outlay Deprec 26'!F5</f>
        <v>822541</v>
      </c>
      <c r="C2026" s="2" t="s">
        <v>594</v>
      </c>
      <c r="D2026" s="2" t="str">
        <f t="shared" si="30"/>
        <v>Error?</v>
      </c>
    </row>
    <row r="2027" spans="1:4" x14ac:dyDescent="0.2">
      <c r="A2027" s="5">
        <v>1966</v>
      </c>
      <c r="B2027" s="138">
        <f>'Cap Outlay Deprec 26'!F8</f>
        <v>47057537</v>
      </c>
      <c r="C2027" s="2" t="s">
        <v>594</v>
      </c>
      <c r="D2027" s="2" t="str">
        <f t="shared" si="30"/>
        <v>Error?</v>
      </c>
    </row>
    <row r="2028" spans="1:4" x14ac:dyDescent="0.2">
      <c r="A2028" s="5">
        <v>1967</v>
      </c>
      <c r="B2028" s="138">
        <f>'Cap Outlay Deprec 26'!F10</f>
        <v>2131047</v>
      </c>
      <c r="C2028" s="2" t="s">
        <v>594</v>
      </c>
      <c r="D2028" s="2" t="str">
        <f t="shared" si="30"/>
        <v>Error?</v>
      </c>
    </row>
    <row r="2029" spans="1:4" x14ac:dyDescent="0.2">
      <c r="A2029" s="5">
        <v>1968</v>
      </c>
      <c r="B2029" s="138">
        <f>'Cap Outlay Deprec 26'!F12</f>
        <v>2439442</v>
      </c>
      <c r="C2029" s="2" t="s">
        <v>594</v>
      </c>
      <c r="D2029" s="2" t="str">
        <f t="shared" si="30"/>
        <v>Error?</v>
      </c>
    </row>
    <row r="2030" spans="1:4" x14ac:dyDescent="0.2">
      <c r="A2030" s="5">
        <v>1969</v>
      </c>
      <c r="B2030" s="138">
        <f>'Cap Outlay Deprec 26'!F13</f>
        <v>2288769</v>
      </c>
      <c r="C2030" s="2" t="s">
        <v>594</v>
      </c>
      <c r="D2030" s="2" t="str">
        <f t="shared" si="30"/>
        <v>Error?</v>
      </c>
    </row>
    <row r="2031" spans="1:4" x14ac:dyDescent="0.2">
      <c r="A2031" s="5">
        <v>1970</v>
      </c>
      <c r="B2031" s="138">
        <f>'Cap Outlay Deprec 26'!F16</f>
        <v>54739336</v>
      </c>
      <c r="C2031" s="2" t="s">
        <v>594</v>
      </c>
      <c r="D2031" s="2" t="str">
        <f t="shared" si="30"/>
        <v>Error?</v>
      </c>
    </row>
    <row r="2032" spans="1:4" x14ac:dyDescent="0.2">
      <c r="A2032" s="10">
        <v>1971</v>
      </c>
      <c r="D2032" s="2" t="str">
        <f t="shared" si="30"/>
        <v>OK</v>
      </c>
    </row>
    <row r="2033" spans="1:4" x14ac:dyDescent="0.2">
      <c r="A2033" s="5">
        <v>1972</v>
      </c>
      <c r="B2033" s="138">
        <f>'Cap Outlay Deprec 26'!H8</f>
        <v>39756293</v>
      </c>
      <c r="D2033" s="2" t="str">
        <f t="shared" si="30"/>
        <v>Error?</v>
      </c>
    </row>
    <row r="2034" spans="1:4" x14ac:dyDescent="0.2">
      <c r="A2034" s="5">
        <v>1973</v>
      </c>
      <c r="B2034" s="138">
        <f>'Cap Outlay Deprec 26'!H10</f>
        <v>983007</v>
      </c>
      <c r="D2034" s="2" t="str">
        <f t="shared" si="30"/>
        <v>Error?</v>
      </c>
    </row>
    <row r="2035" spans="1:4" x14ac:dyDescent="0.2">
      <c r="A2035" s="5">
        <v>1974</v>
      </c>
      <c r="B2035" s="138">
        <f>'Cap Outlay Deprec 26'!H12</f>
        <v>1495504</v>
      </c>
      <c r="D2035" s="2" t="str">
        <f t="shared" si="30"/>
        <v>Error?</v>
      </c>
    </row>
    <row r="2036" spans="1:4" x14ac:dyDescent="0.2">
      <c r="A2036" s="5">
        <v>1975</v>
      </c>
      <c r="B2036" s="138">
        <f>'Cap Outlay Deprec 26'!H13</f>
        <v>1235517</v>
      </c>
      <c r="D2036" s="2" t="str">
        <f t="shared" si="30"/>
        <v>Error?</v>
      </c>
    </row>
    <row r="2037" spans="1:4" x14ac:dyDescent="0.2">
      <c r="A2037" s="5">
        <v>1976</v>
      </c>
      <c r="B2037" s="138">
        <f>'Cap Outlay Deprec 26'!H16</f>
        <v>43470321</v>
      </c>
      <c r="C2037" s="2" t="s">
        <v>594</v>
      </c>
      <c r="D2037" s="2" t="str">
        <f t="shared" si="30"/>
        <v>Error?</v>
      </c>
    </row>
    <row r="2038" spans="1:4" x14ac:dyDescent="0.2">
      <c r="A2038" s="10">
        <v>1977</v>
      </c>
      <c r="D2038" s="2" t="str">
        <f t="shared" si="30"/>
        <v>OK</v>
      </c>
    </row>
    <row r="2039" spans="1:4" x14ac:dyDescent="0.2">
      <c r="A2039" s="5">
        <v>1978</v>
      </c>
      <c r="B2039" s="138">
        <f>'Cap Outlay Deprec 26'!I8</f>
        <v>855908</v>
      </c>
      <c r="D2039" s="2" t="str">
        <f t="shared" si="30"/>
        <v>Error?</v>
      </c>
    </row>
    <row r="2040" spans="1:4" x14ac:dyDescent="0.2">
      <c r="A2040" s="5">
        <v>1979</v>
      </c>
      <c r="B2040" s="138">
        <f>'Cap Outlay Deprec 26'!I10</f>
        <v>106552</v>
      </c>
      <c r="D2040" s="2" t="str">
        <f t="shared" si="30"/>
        <v>Error?</v>
      </c>
    </row>
    <row r="2041" spans="1:4" x14ac:dyDescent="0.2">
      <c r="A2041" s="5">
        <v>1980</v>
      </c>
      <c r="B2041" s="138">
        <f>'Cap Outlay Deprec 26'!I12</f>
        <v>202103</v>
      </c>
      <c r="D2041" s="2" t="str">
        <f t="shared" si="30"/>
        <v>Error?</v>
      </c>
    </row>
    <row r="2042" spans="1:4" x14ac:dyDescent="0.2">
      <c r="A2042" s="5">
        <v>1981</v>
      </c>
      <c r="B2042" s="138">
        <f>'Cap Outlay Deprec 26'!I13</f>
        <v>319264</v>
      </c>
      <c r="D2042" s="2" t="str">
        <f t="shared" si="30"/>
        <v>Error?</v>
      </c>
    </row>
    <row r="2043" spans="1:4" x14ac:dyDescent="0.2">
      <c r="A2043" s="5">
        <v>1982</v>
      </c>
      <c r="B2043" s="138">
        <f>'Cap Outlay Deprec 26'!I16</f>
        <v>1483827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277445</v>
      </c>
      <c r="D2048" s="2" t="str">
        <f t="shared" si="31"/>
        <v>Error?</v>
      </c>
    </row>
    <row r="2049" spans="1:4" x14ac:dyDescent="0.2">
      <c r="A2049" s="5">
        <v>1988</v>
      </c>
      <c r="B2049" s="138">
        <f>'Cap Outlay Deprec 26'!J16</f>
        <v>277445</v>
      </c>
      <c r="C2049" s="2" t="s">
        <v>594</v>
      </c>
      <c r="D2049" s="2" t="str">
        <f t="shared" si="31"/>
        <v>Error?</v>
      </c>
    </row>
    <row r="2050" spans="1:4" x14ac:dyDescent="0.2">
      <c r="A2050" s="10">
        <v>1989</v>
      </c>
      <c r="D2050" s="2" t="str">
        <f t="shared" si="31"/>
        <v>OK</v>
      </c>
    </row>
    <row r="2051" spans="1:4" x14ac:dyDescent="0.2">
      <c r="A2051" s="5">
        <v>1990</v>
      </c>
      <c r="B2051" s="138">
        <f>'Cap Outlay Deprec 26'!K8</f>
        <v>40612201</v>
      </c>
      <c r="C2051" s="2" t="s">
        <v>594</v>
      </c>
      <c r="D2051" s="2" t="str">
        <f t="shared" si="31"/>
        <v>Error?</v>
      </c>
    </row>
    <row r="2052" spans="1:4" x14ac:dyDescent="0.2">
      <c r="A2052" s="5">
        <v>1991</v>
      </c>
      <c r="B2052" s="138">
        <f>'Cap Outlay Deprec 26'!K10</f>
        <v>1089559</v>
      </c>
      <c r="C2052" s="2" t="s">
        <v>594</v>
      </c>
      <c r="D2052" s="2" t="str">
        <f t="shared" si="31"/>
        <v>Error?</v>
      </c>
    </row>
    <row r="2053" spans="1:4" x14ac:dyDescent="0.2">
      <c r="A2053" s="5">
        <v>1992</v>
      </c>
      <c r="B2053" s="138">
        <f>'Cap Outlay Deprec 26'!K12</f>
        <v>1697607</v>
      </c>
      <c r="C2053" s="2" t="s">
        <v>594</v>
      </c>
      <c r="D2053" s="2" t="str">
        <f t="shared" si="31"/>
        <v>Error?</v>
      </c>
    </row>
    <row r="2054" spans="1:4" x14ac:dyDescent="0.2">
      <c r="A2054" s="5">
        <v>1993</v>
      </c>
      <c r="B2054" s="138">
        <f>'Cap Outlay Deprec 26'!K13</f>
        <v>1277336</v>
      </c>
      <c r="C2054" s="2" t="s">
        <v>594</v>
      </c>
      <c r="D2054" s="2" t="str">
        <f t="shared" si="31"/>
        <v>Error?</v>
      </c>
    </row>
    <row r="2055" spans="1:4" x14ac:dyDescent="0.2">
      <c r="A2055" s="5">
        <v>1994</v>
      </c>
      <c r="B2055" s="138">
        <f>'Cap Outlay Deprec 26'!K16</f>
        <v>44676703</v>
      </c>
      <c r="C2055" s="2" t="s">
        <v>594</v>
      </c>
      <c r="D2055" s="2" t="str">
        <f t="shared" si="31"/>
        <v>Error?</v>
      </c>
    </row>
    <row r="2056" spans="1:4" x14ac:dyDescent="0.2">
      <c r="A2056" s="5">
        <v>1995</v>
      </c>
      <c r="B2056" s="138">
        <f>'Cap Outlay Deprec 26'!L5</f>
        <v>822541</v>
      </c>
      <c r="C2056" s="2" t="s">
        <v>594</v>
      </c>
      <c r="D2056" s="2" t="str">
        <f t="shared" si="31"/>
        <v>Error?</v>
      </c>
    </row>
    <row r="2057" spans="1:4" x14ac:dyDescent="0.2">
      <c r="A2057" s="5">
        <v>1996</v>
      </c>
      <c r="B2057" s="138">
        <f>'Cap Outlay Deprec 26'!L8</f>
        <v>6445336</v>
      </c>
      <c r="C2057" s="2" t="s">
        <v>594</v>
      </c>
      <c r="D2057" s="2" t="str">
        <f t="shared" si="31"/>
        <v>Error?</v>
      </c>
    </row>
    <row r="2058" spans="1:4" x14ac:dyDescent="0.2">
      <c r="A2058" s="5">
        <v>1997</v>
      </c>
      <c r="B2058" s="138">
        <f>'Cap Outlay Deprec 26'!L10</f>
        <v>1041488</v>
      </c>
      <c r="C2058" s="2" t="s">
        <v>594</v>
      </c>
      <c r="D2058" s="2" t="str">
        <f t="shared" si="31"/>
        <v>Error?</v>
      </c>
    </row>
    <row r="2059" spans="1:4" x14ac:dyDescent="0.2">
      <c r="A2059" s="5">
        <v>1998</v>
      </c>
      <c r="B2059" s="138">
        <f>'Cap Outlay Deprec 26'!L12</f>
        <v>741835</v>
      </c>
      <c r="C2059" s="2" t="s">
        <v>594</v>
      </c>
      <c r="D2059" s="2" t="str">
        <f t="shared" si="31"/>
        <v>Error?</v>
      </c>
    </row>
    <row r="2060" spans="1:4" x14ac:dyDescent="0.2">
      <c r="A2060" s="5">
        <v>1999</v>
      </c>
      <c r="B2060" s="138">
        <f>'Cap Outlay Deprec 26'!L13</f>
        <v>1011433</v>
      </c>
      <c r="C2060" s="2" t="s">
        <v>594</v>
      </c>
      <c r="D2060" s="2" t="str">
        <f t="shared" si="31"/>
        <v>Error?</v>
      </c>
    </row>
    <row r="2061" spans="1:4" x14ac:dyDescent="0.2">
      <c r="A2061" s="5">
        <v>2000</v>
      </c>
      <c r="B2061" s="138">
        <f>'Cap Outlay Deprec 26'!L16</f>
        <v>10062633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455898</v>
      </c>
      <c r="C2088" s="2" t="s">
        <v>594</v>
      </c>
      <c r="D2088" s="2" t="str">
        <f t="shared" si="31"/>
        <v>Error?</v>
      </c>
    </row>
    <row r="2089" spans="1:4" x14ac:dyDescent="0.2">
      <c r="A2089" s="5">
        <v>2028</v>
      </c>
      <c r="B2089" s="138">
        <f>'Expenditures 15-22'!K92</f>
        <v>221337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17046564</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830969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14091185</v>
      </c>
      <c r="C2551" s="2" t="s">
        <v>594</v>
      </c>
      <c r="D2551" s="2" t="str">
        <f t="shared" si="38"/>
        <v>Error?</v>
      </c>
    </row>
    <row r="2552" spans="1:4" x14ac:dyDescent="0.2">
      <c r="A2552" s="10">
        <v>2491</v>
      </c>
      <c r="D2552" s="2" t="str">
        <f t="shared" si="38"/>
        <v>OK</v>
      </c>
    </row>
    <row r="2553" spans="1:4" x14ac:dyDescent="0.2">
      <c r="A2553" s="5">
        <v>2492</v>
      </c>
      <c r="B2553" s="138">
        <f>'Acct Summary 7-8'!C6</f>
        <v>20668991</v>
      </c>
      <c r="C2553" s="2" t="s">
        <v>594</v>
      </c>
      <c r="D2553" s="2" t="str">
        <f t="shared" si="38"/>
        <v>Error?</v>
      </c>
    </row>
    <row r="2554" spans="1:4" x14ac:dyDescent="0.2">
      <c r="A2554" s="5">
        <v>2493</v>
      </c>
      <c r="B2554" s="138">
        <f>'Acct Summary 7-8'!C7</f>
        <v>5875846</v>
      </c>
      <c r="C2554" s="2" t="s">
        <v>594</v>
      </c>
      <c r="D2554" s="2" t="str">
        <f t="shared" si="38"/>
        <v>Error?</v>
      </c>
    </row>
    <row r="2555" spans="1:4" x14ac:dyDescent="0.2">
      <c r="A2555" s="5">
        <v>2494</v>
      </c>
      <c r="B2555" s="138">
        <f>'Acct Summary 7-8'!C8</f>
        <v>40636022</v>
      </c>
      <c r="C2555" s="2" t="s">
        <v>594</v>
      </c>
      <c r="D2555" s="2" t="str">
        <f t="shared" si="38"/>
        <v>Error?</v>
      </c>
    </row>
    <row r="2556" spans="1:4" x14ac:dyDescent="0.2">
      <c r="A2556" s="5">
        <v>2495</v>
      </c>
      <c r="B2556" s="138">
        <f>'Acct Summary 7-8'!C12</f>
        <v>23999209</v>
      </c>
      <c r="C2556" s="2" t="s">
        <v>594</v>
      </c>
      <c r="D2556" s="2" t="str">
        <f t="shared" si="38"/>
        <v>Error?</v>
      </c>
    </row>
    <row r="2557" spans="1:4" x14ac:dyDescent="0.2">
      <c r="A2557" s="5">
        <v>2496</v>
      </c>
      <c r="B2557" s="138">
        <f>'Acct Summary 7-8'!C13</f>
        <v>15513007</v>
      </c>
      <c r="C2557" s="2" t="s">
        <v>594</v>
      </c>
      <c r="D2557" s="2" t="str">
        <f t="shared" si="38"/>
        <v>Error?</v>
      </c>
    </row>
    <row r="2558" spans="1:4" x14ac:dyDescent="0.2">
      <c r="A2558" s="5">
        <v>2497</v>
      </c>
      <c r="B2558" s="138">
        <f>'Acct Summary 7-8'!C14</f>
        <v>132879</v>
      </c>
      <c r="C2558" s="2" t="s">
        <v>594</v>
      </c>
      <c r="D2558" s="2" t="str">
        <f t="shared" si="38"/>
        <v>Error?</v>
      </c>
    </row>
    <row r="2559" spans="1:4" x14ac:dyDescent="0.2">
      <c r="A2559" s="5">
        <v>2498</v>
      </c>
      <c r="B2559" s="138">
        <f>'Acct Summary 7-8'!C15</f>
        <v>677235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40322330</v>
      </c>
      <c r="C2561" s="2" t="s">
        <v>594</v>
      </c>
      <c r="D2561" s="2" t="str">
        <f t="shared" si="39"/>
        <v>Error?</v>
      </c>
    </row>
    <row r="2562" spans="1:4" x14ac:dyDescent="0.2">
      <c r="A2562" s="5">
        <v>2501</v>
      </c>
      <c r="B2562" s="138">
        <f>'Acct Summary 7-8'!C20</f>
        <v>313692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3648368</v>
      </c>
      <c r="C2564" s="2" t="s">
        <v>594</v>
      </c>
      <c r="D2564" s="2" t="str">
        <f t="shared" si="39"/>
        <v>Error?</v>
      </c>
    </row>
    <row r="2565" spans="1:4" x14ac:dyDescent="0.2">
      <c r="A2565" s="10">
        <v>2504</v>
      </c>
      <c r="D2565" s="2" t="str">
        <f t="shared" si="39"/>
        <v>OK</v>
      </c>
    </row>
    <row r="2566" spans="1:4" x14ac:dyDescent="0.2">
      <c r="A2566" s="5">
        <v>2505</v>
      </c>
      <c r="B2566" s="138">
        <f>'Acct Summary 7-8'!D6</f>
        <v>650000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4298368</v>
      </c>
      <c r="C2568" s="2" t="s">
        <v>594</v>
      </c>
      <c r="D2568" s="2" t="str">
        <f t="shared" si="39"/>
        <v>Error?</v>
      </c>
    </row>
    <row r="2569" spans="1:4" x14ac:dyDescent="0.2">
      <c r="A2569" s="5">
        <v>2508</v>
      </c>
      <c r="B2569" s="138">
        <f>'Acct Summary 7-8'!D13</f>
        <v>4076013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4076013</v>
      </c>
      <c r="C2573" s="2" t="s">
        <v>594</v>
      </c>
      <c r="D2573" s="2" t="str">
        <f t="shared" si="39"/>
        <v>Error?</v>
      </c>
    </row>
    <row r="2574" spans="1:4" x14ac:dyDescent="0.2">
      <c r="A2574" s="5">
        <v>2513</v>
      </c>
      <c r="B2574" s="138">
        <f>'Acct Summary 7-8'!D20</f>
        <v>222355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2249345</v>
      </c>
      <c r="C2591" s="2" t="s">
        <v>594</v>
      </c>
      <c r="D2591" s="2" t="str">
        <f t="shared" si="39"/>
        <v>Error?</v>
      </c>
    </row>
    <row r="2592" spans="1:4" x14ac:dyDescent="0.2">
      <c r="A2592" s="10">
        <v>2531</v>
      </c>
      <c r="D2592" s="2" t="str">
        <f t="shared" si="39"/>
        <v>OK</v>
      </c>
    </row>
    <row r="2593" spans="1:4" x14ac:dyDescent="0.2">
      <c r="A2593" s="5">
        <v>2532</v>
      </c>
      <c r="B2593" s="138">
        <f>'Acct Summary 7-8'!F6</f>
        <v>1238306</v>
      </c>
      <c r="C2593" s="2" t="s">
        <v>594</v>
      </c>
      <c r="D2593" s="2" t="str">
        <f t="shared" si="39"/>
        <v>Error?</v>
      </c>
    </row>
    <row r="2594" spans="1:4" x14ac:dyDescent="0.2">
      <c r="A2594" s="5">
        <v>2533</v>
      </c>
      <c r="B2594" s="138">
        <f>'Acct Summary 7-8'!F7</f>
        <v>40000</v>
      </c>
      <c r="C2594" s="2" t="s">
        <v>594</v>
      </c>
      <c r="D2594" s="2" t="str">
        <f t="shared" si="39"/>
        <v>Error?</v>
      </c>
    </row>
    <row r="2595" spans="1:4" x14ac:dyDescent="0.2">
      <c r="A2595" s="5">
        <v>2534</v>
      </c>
      <c r="B2595" s="138">
        <f>'Acct Summary 7-8'!F8</f>
        <v>3527651</v>
      </c>
      <c r="C2595" s="2" t="s">
        <v>594</v>
      </c>
      <c r="D2595" s="2" t="str">
        <f t="shared" si="39"/>
        <v>Error?</v>
      </c>
    </row>
    <row r="2596" spans="1:4" x14ac:dyDescent="0.2">
      <c r="A2596" s="5">
        <v>2535</v>
      </c>
      <c r="B2596" s="138">
        <f>'Acct Summary 7-8'!F13</f>
        <v>3295895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3295895</v>
      </c>
      <c r="C2600" s="2" t="s">
        <v>594</v>
      </c>
      <c r="D2600" s="2" t="str">
        <f t="shared" si="39"/>
        <v>Error?</v>
      </c>
    </row>
    <row r="2601" spans="1:4" x14ac:dyDescent="0.2">
      <c r="A2601" s="5">
        <v>2540</v>
      </c>
      <c r="B2601" s="138">
        <f>'Acct Summary 7-8'!F20</f>
        <v>231756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1834361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1834361</v>
      </c>
      <c r="C2606" s="2" t="s">
        <v>594</v>
      </c>
      <c r="D2606" s="2" t="str">
        <f t="shared" si="39"/>
        <v>Error?</v>
      </c>
    </row>
    <row r="2607" spans="1:4" x14ac:dyDescent="0.2">
      <c r="A2607" s="5">
        <v>2546</v>
      </c>
      <c r="B2607" s="138">
        <f>'Acct Summary 7-8'!G12</f>
        <v>451850</v>
      </c>
      <c r="C2607" s="2" t="s">
        <v>594</v>
      </c>
      <c r="D2607" s="2" t="str">
        <f t="shared" si="39"/>
        <v>Error?</v>
      </c>
    </row>
    <row r="2608" spans="1:4" x14ac:dyDescent="0.2">
      <c r="A2608" s="5">
        <v>2547</v>
      </c>
      <c r="B2608" s="138">
        <f>'Acct Summary 7-8'!G13</f>
        <v>1008917</v>
      </c>
      <c r="C2608" s="2" t="s">
        <v>594</v>
      </c>
      <c r="D2608" s="2" t="str">
        <f t="shared" si="39"/>
        <v>Error?</v>
      </c>
    </row>
    <row r="2609" spans="1:4" x14ac:dyDescent="0.2">
      <c r="A2609" s="5">
        <v>2548</v>
      </c>
      <c r="B2609" s="138">
        <f>'Acct Summary 7-8'!G14</f>
        <v>981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1461748</v>
      </c>
      <c r="C2612" s="2" t="s">
        <v>594</v>
      </c>
      <c r="D2612" s="2" t="str">
        <f t="shared" si="39"/>
        <v>Error?</v>
      </c>
    </row>
    <row r="2613" spans="1:4" x14ac:dyDescent="0.2">
      <c r="A2613" s="5">
        <v>2552</v>
      </c>
      <c r="B2613" s="138">
        <f>'Acct Summary 7-8'!G20</f>
        <v>372613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2611691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2611691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2871771</v>
      </c>
      <c r="C2634" s="2" t="s">
        <v>594</v>
      </c>
      <c r="D2634" s="2" t="str">
        <f t="shared" si="40"/>
        <v>Error?</v>
      </c>
    </row>
    <row r="2635" spans="1:4" x14ac:dyDescent="0.2">
      <c r="A2635" s="5">
        <v>2574</v>
      </c>
      <c r="B2635" s="138">
        <f>'Acct Summary 7-8'!E17</f>
        <v>2871771</v>
      </c>
      <c r="C2635" s="2" t="s">
        <v>594</v>
      </c>
      <c r="D2635" s="2" t="str">
        <f t="shared" si="40"/>
        <v>Error?</v>
      </c>
    </row>
    <row r="2636" spans="1:4" x14ac:dyDescent="0.2">
      <c r="A2636" s="5">
        <v>2575</v>
      </c>
      <c r="B2636" s="138">
        <f>'Acct Summary 7-8'!E20</f>
        <v>-260080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292344</v>
      </c>
      <c r="D2718" s="2" t="str">
        <f t="shared" si="41"/>
        <v>Error?</v>
      </c>
    </row>
    <row r="2719" spans="1:4" x14ac:dyDescent="0.2">
      <c r="A2719" s="5">
        <v>2658</v>
      </c>
      <c r="B2719" s="138">
        <f>'Expenditures 15-22'!D51</f>
        <v>78686</v>
      </c>
      <c r="D2719" s="2" t="str">
        <f t="shared" si="41"/>
        <v>Error?</v>
      </c>
    </row>
    <row r="2720" spans="1:4" x14ac:dyDescent="0.2">
      <c r="A2720" s="5">
        <v>2659</v>
      </c>
      <c r="B2720" s="138">
        <f>'Expenditures 15-22'!E51</f>
        <v>31116</v>
      </c>
      <c r="D2720" s="2" t="str">
        <f t="shared" si="41"/>
        <v>Error?</v>
      </c>
    </row>
    <row r="2721" spans="1:4" x14ac:dyDescent="0.2">
      <c r="A2721" s="5">
        <v>2660</v>
      </c>
      <c r="B2721" s="138">
        <f>'Expenditures 15-22'!F51</f>
        <v>5964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408110</v>
      </c>
      <c r="C2724" s="2" t="s">
        <v>594</v>
      </c>
      <c r="D2724" s="2" t="str">
        <f t="shared" si="41"/>
        <v>Error?</v>
      </c>
    </row>
    <row r="2725" spans="1:4" x14ac:dyDescent="0.2">
      <c r="A2725" s="5">
        <v>2664</v>
      </c>
      <c r="B2725" s="138">
        <f>'Expenditures 15-22'!D247</f>
        <v>8754</v>
      </c>
      <c r="D2725" s="2" t="str">
        <f t="shared" si="41"/>
        <v>Error?</v>
      </c>
    </row>
    <row r="2726" spans="1:4" x14ac:dyDescent="0.2">
      <c r="A2726" s="5">
        <v>2665</v>
      </c>
      <c r="B2726" s="138">
        <f>'Expenditures 15-22'!K247</f>
        <v>8754</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2382</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455898</v>
      </c>
      <c r="C2789" s="2" t="s">
        <v>594</v>
      </c>
      <c r="D2789" s="2" t="str">
        <f t="shared" si="42"/>
        <v>Error?</v>
      </c>
    </row>
    <row r="2790" spans="1:4" x14ac:dyDescent="0.2">
      <c r="A2790" s="5">
        <v>2729</v>
      </c>
      <c r="B2790" s="138">
        <f>'Expenditures 15-22'!E102</f>
        <v>455898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2382</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86996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10846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334533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408023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50008</v>
      </c>
      <c r="D2908" s="2" t="str">
        <f t="shared" si="44"/>
        <v>Error?</v>
      </c>
    </row>
    <row r="2909" spans="1:4" x14ac:dyDescent="0.2">
      <c r="A2909" s="10">
        <v>2848</v>
      </c>
      <c r="D2909" s="2" t="str">
        <f t="shared" si="44"/>
        <v>OK</v>
      </c>
    </row>
    <row r="2910" spans="1:4" x14ac:dyDescent="0.2">
      <c r="A2910" s="5">
        <v>2849</v>
      </c>
      <c r="B2910" s="138">
        <f>'Assets-Liab 5-6'!I34</f>
        <v>50008</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284525</v>
      </c>
      <c r="D2912" s="2" t="str">
        <f t="shared" si="44"/>
        <v>Error?</v>
      </c>
    </row>
    <row r="2913" spans="1:4" x14ac:dyDescent="0.2">
      <c r="A2913" s="5">
        <v>2852</v>
      </c>
      <c r="B2913" s="138">
        <f>'Assets-Liab 5-6'!I41</f>
        <v>334533</v>
      </c>
      <c r="C2913" s="2" t="s">
        <v>594</v>
      </c>
      <c r="D2913" s="2" t="str">
        <f t="shared" si="44"/>
        <v>Error?</v>
      </c>
    </row>
    <row r="2914" spans="1:4" x14ac:dyDescent="0.2">
      <c r="A2914" s="5">
        <v>2853</v>
      </c>
      <c r="B2914" s="138">
        <f>'Assets-Liab 5-6'!L33</f>
        <v>408023</v>
      </c>
      <c r="D2914" s="2" t="str">
        <f t="shared" si="44"/>
        <v>Error?</v>
      </c>
    </row>
    <row r="2915" spans="1:4" x14ac:dyDescent="0.2">
      <c r="A2915" s="10">
        <v>2854</v>
      </c>
      <c r="D2915" s="2" t="str">
        <f t="shared" si="44"/>
        <v>OK</v>
      </c>
    </row>
    <row r="2916" spans="1:4" x14ac:dyDescent="0.2">
      <c r="A2916" s="5">
        <v>2855</v>
      </c>
      <c r="B2916" s="138">
        <f>'Assets-Liab 5-6'!L34</f>
        <v>408023</v>
      </c>
      <c r="C2916" s="2" t="s">
        <v>594</v>
      </c>
      <c r="D2916" s="2" t="str">
        <f t="shared" si="44"/>
        <v>Error?</v>
      </c>
    </row>
    <row r="2917" spans="1:4" x14ac:dyDescent="0.2">
      <c r="A2917" s="5">
        <v>2856</v>
      </c>
      <c r="B2917" s="138">
        <f>'Assets-Liab 5-6'!L41</f>
        <v>408023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341234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114664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341234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114664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506370</v>
      </c>
      <c r="D3055" s="2" t="str">
        <f t="shared" si="46"/>
        <v>Error?</v>
      </c>
    </row>
    <row r="3056" spans="1:4" x14ac:dyDescent="0.2">
      <c r="A3056" s="5">
        <v>2995</v>
      </c>
      <c r="B3056" s="138">
        <f>'Expenditures 15-22'!D10</f>
        <v>139060</v>
      </c>
      <c r="D3056" s="2" t="str">
        <f t="shared" si="46"/>
        <v>Error?</v>
      </c>
    </row>
    <row r="3057" spans="1:4" x14ac:dyDescent="0.2">
      <c r="A3057" s="5">
        <v>2996</v>
      </c>
      <c r="B3057" s="138">
        <f>'Expenditures 15-22'!E10</f>
        <v>377333</v>
      </c>
      <c r="D3057" s="2" t="str">
        <f t="shared" si="46"/>
        <v>Error?</v>
      </c>
    </row>
    <row r="3058" spans="1:4" x14ac:dyDescent="0.2">
      <c r="A3058" s="5">
        <v>2997</v>
      </c>
      <c r="B3058" s="138">
        <f>'Expenditures 15-22'!F10</f>
        <v>467936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1523974</v>
      </c>
      <c r="C3062" s="2" t="s">
        <v>594</v>
      </c>
      <c r="D3062" s="2" t="str">
        <f t="shared" si="46"/>
        <v>Error?</v>
      </c>
    </row>
    <row r="3063" spans="1:4" x14ac:dyDescent="0.2">
      <c r="A3063" s="10">
        <v>3002</v>
      </c>
      <c r="D3063" s="2" t="str">
        <f t="shared" si="46"/>
        <v>OK</v>
      </c>
    </row>
    <row r="3064" spans="1:4" x14ac:dyDescent="0.2">
      <c r="A3064" s="5">
        <v>3003</v>
      </c>
      <c r="B3064" s="138">
        <f>'Expenditures 15-22'!D219</f>
        <v>27233</v>
      </c>
      <c r="D3064" s="2" t="str">
        <f t="shared" si="46"/>
        <v>Error?</v>
      </c>
    </row>
    <row r="3065" spans="1:4" x14ac:dyDescent="0.2">
      <c r="A3065" s="5">
        <v>3004</v>
      </c>
      <c r="B3065" s="138">
        <f>'Expenditures 15-22'!K219</f>
        <v>27233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129388</v>
      </c>
      <c r="C3225" s="2" t="s">
        <v>594</v>
      </c>
      <c r="D3225" s="2" t="str">
        <f t="shared" si="49"/>
        <v>Error?</v>
      </c>
    </row>
    <row r="3226" spans="1:4" x14ac:dyDescent="0.2">
      <c r="A3226" s="5">
        <v>3165</v>
      </c>
      <c r="B3226" s="138">
        <f>'Acct Summary 7-8'!I8</f>
        <v>129388</v>
      </c>
      <c r="C3226" s="2" t="s">
        <v>594</v>
      </c>
      <c r="D3226" s="2" t="str">
        <f t="shared" si="49"/>
        <v>Error?</v>
      </c>
    </row>
    <row r="3227" spans="1:4" x14ac:dyDescent="0.2">
      <c r="A3227" s="5">
        <v>3166</v>
      </c>
      <c r="B3227" s="138">
        <f>'Acct Summary 7-8'!I20</f>
        <v>129388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5661297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5661297</v>
      </c>
      <c r="C3232" s="2" t="s">
        <v>594</v>
      </c>
      <c r="D3232" s="2" t="str">
        <f t="shared" si="49"/>
        <v>Error?</v>
      </c>
    </row>
    <row r="3233" spans="1:4" x14ac:dyDescent="0.2">
      <c r="A3233" s="5">
        <v>3172</v>
      </c>
      <c r="B3233" s="138">
        <f>'Acct Summary 7-8'!C78</f>
        <v>5974989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11400000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11400000</v>
      </c>
      <c r="C3238" s="2" t="s">
        <v>594</v>
      </c>
      <c r="D3238" s="2" t="str">
        <f t="shared" si="49"/>
        <v>Error?</v>
      </c>
    </row>
    <row r="3239" spans="1:4" x14ac:dyDescent="0.2">
      <c r="A3239" s="5">
        <v>3178</v>
      </c>
      <c r="B3239" s="138">
        <f>'Acct Summary 7-8'!D78</f>
        <v>11622355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231756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372613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2382</v>
      </c>
      <c r="C3276" s="2" t="s">
        <v>594</v>
      </c>
      <c r="D3276" s="2" t="str">
        <f t="shared" si="50"/>
        <v>Error?</v>
      </c>
    </row>
    <row r="3277" spans="1:4" x14ac:dyDescent="0.2">
      <c r="A3277" s="5">
        <v>3216</v>
      </c>
      <c r="B3277" s="138">
        <f>'Acct Summary 7-8'!E77</f>
        <v>-2382</v>
      </c>
      <c r="C3277" s="2" t="s">
        <v>594</v>
      </c>
      <c r="D3277" s="2" t="str">
        <f t="shared" si="50"/>
        <v>Error?</v>
      </c>
    </row>
    <row r="3278" spans="1:4" x14ac:dyDescent="0.2">
      <c r="A3278" s="5">
        <v>3217</v>
      </c>
      <c r="B3278" s="138">
        <f>'Acct Summary 7-8'!E78</f>
        <v>-262462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18831626</v>
      </c>
      <c r="C3317" s="2" t="s">
        <v>594</v>
      </c>
      <c r="D3317" s="2" t="str">
        <f t="shared" si="50"/>
        <v>Error?</v>
      </c>
    </row>
    <row r="3318" spans="1:4" x14ac:dyDescent="0.2">
      <c r="A3318" s="5">
        <v>3257</v>
      </c>
      <c r="B3318" s="138">
        <f>'Acct Summary 7-8'!I76</f>
        <v>24382536</v>
      </c>
      <c r="C3318" s="2" t="s">
        <v>594</v>
      </c>
      <c r="D3318" s="2" t="str">
        <f t="shared" si="50"/>
        <v>Error?</v>
      </c>
    </row>
    <row r="3319" spans="1:4" x14ac:dyDescent="0.2">
      <c r="A3319" s="5">
        <v>3258</v>
      </c>
      <c r="B3319" s="138">
        <f>'Acct Summary 7-8'!I77</f>
        <v>-5550910</v>
      </c>
      <c r="C3319" s="2" t="s">
        <v>594</v>
      </c>
      <c r="D3319" s="2" t="str">
        <f t="shared" si="50"/>
        <v>Error?</v>
      </c>
    </row>
    <row r="3320" spans="1:4" x14ac:dyDescent="0.2">
      <c r="A3320" s="5">
        <v>3259</v>
      </c>
      <c r="B3320" s="138">
        <f>'Acct Summary 7-8'!I78</f>
        <v>-5421522</v>
      </c>
      <c r="C3320" s="2" t="s">
        <v>594</v>
      </c>
      <c r="D3320" s="2" t="str">
        <f t="shared" si="50"/>
        <v>Error?</v>
      </c>
    </row>
    <row r="3321" spans="1:4" x14ac:dyDescent="0.2">
      <c r="A3321" s="5">
        <v>3260</v>
      </c>
      <c r="B3321" s="138">
        <f>'Acct Summary 7-8'!I79</f>
        <v>5706047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284525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3107823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723106</v>
      </c>
      <c r="D3368" s="2" t="str">
        <f t="shared" si="51"/>
        <v>Error?</v>
      </c>
    </row>
    <row r="3369" spans="1:4" x14ac:dyDescent="0.2">
      <c r="A3369" s="5">
        <v>3308</v>
      </c>
      <c r="B3369" s="138">
        <f>'Expenditures 15-22'!D19</f>
        <v>28211</v>
      </c>
      <c r="D3369" s="2" t="str">
        <f t="shared" si="51"/>
        <v>Error?</v>
      </c>
    </row>
    <row r="3370" spans="1:4" x14ac:dyDescent="0.2">
      <c r="A3370" s="5">
        <v>3309</v>
      </c>
      <c r="B3370" s="138">
        <f>'Expenditures 15-22'!E8</f>
        <v>17794</v>
      </c>
      <c r="D3370" s="2" t="str">
        <f t="shared" si="51"/>
        <v>Error?</v>
      </c>
    </row>
    <row r="3371" spans="1:4" x14ac:dyDescent="0.2">
      <c r="A3371" s="5">
        <v>3310</v>
      </c>
      <c r="B3371" s="138">
        <f>'Expenditures 15-22'!E19</f>
        <v>196979</v>
      </c>
      <c r="D3371" s="2" t="str">
        <f t="shared" si="51"/>
        <v>Error?</v>
      </c>
    </row>
    <row r="3372" spans="1:4" x14ac:dyDescent="0.2">
      <c r="A3372" s="5">
        <v>3311</v>
      </c>
      <c r="B3372" s="138">
        <f>'Expenditures 15-22'!F8</f>
        <v>56288</v>
      </c>
      <c r="D3372" s="2" t="str">
        <f t="shared" si="51"/>
        <v>Error?</v>
      </c>
    </row>
    <row r="3373" spans="1:4" x14ac:dyDescent="0.2">
      <c r="A3373" s="5">
        <v>3312</v>
      </c>
      <c r="B3373" s="138">
        <f>'Expenditures 15-22'!F19</f>
        <v>7658</v>
      </c>
      <c r="D3373" s="2" t="str">
        <f t="shared" si="51"/>
        <v>Error?</v>
      </c>
    </row>
    <row r="3374" spans="1:4" x14ac:dyDescent="0.2">
      <c r="A3374" s="5">
        <v>3313</v>
      </c>
      <c r="B3374" s="138">
        <f>'Expenditures 15-22'!G8</f>
        <v>4099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3909770</v>
      </c>
      <c r="C3380" s="2" t="s">
        <v>594</v>
      </c>
      <c r="D3380" s="2" t="str">
        <f t="shared" si="51"/>
        <v>Error?</v>
      </c>
    </row>
    <row r="3381" spans="1:4" x14ac:dyDescent="0.2">
      <c r="A3381" s="5">
        <v>3320</v>
      </c>
      <c r="B3381" s="138">
        <f>'Expenditures 15-22'!K19</f>
        <v>232848</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182626</v>
      </c>
      <c r="D3387" s="2" t="str">
        <f t="shared" si="51"/>
        <v>Error?</v>
      </c>
    </row>
    <row r="3388" spans="1:4" x14ac:dyDescent="0.2">
      <c r="A3388" s="5">
        <v>3327</v>
      </c>
      <c r="B3388" s="138">
        <f>'Expenditures 15-22'!D217</f>
        <v>178432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182626</v>
      </c>
      <c r="C3390" s="2" t="s">
        <v>594</v>
      </c>
      <c r="D3390" s="2" t="str">
        <f t="shared" si="51"/>
        <v>Error?</v>
      </c>
    </row>
    <row r="3391" spans="1:4" x14ac:dyDescent="0.2">
      <c r="A3391" s="5">
        <v>3330</v>
      </c>
      <c r="B3391" s="138">
        <f>'Expenditures 15-22'!K217</f>
        <v>178432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542418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12738693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642748</v>
      </c>
      <c r="D3417" s="2" t="str">
        <f t="shared" si="52"/>
        <v>Error?</v>
      </c>
    </row>
    <row r="3418" spans="1:4" x14ac:dyDescent="0.2">
      <c r="A3418" s="10">
        <v>3357</v>
      </c>
      <c r="D3418" s="2" t="str">
        <f t="shared" si="52"/>
        <v>OK</v>
      </c>
    </row>
    <row r="3419" spans="1:4" x14ac:dyDescent="0.2">
      <c r="A3419" s="5">
        <v>3358</v>
      </c>
      <c r="B3419" s="138">
        <f>'Assets-Liab 5-6'!F4</f>
        <v>1473250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1622939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236691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408023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985310</v>
      </c>
      <c r="C3446" s="2" t="s">
        <v>594</v>
      </c>
      <c r="D3446" s="2" t="str">
        <f t="shared" si="52"/>
        <v>Error?</v>
      </c>
    </row>
    <row r="3447" spans="1:4" x14ac:dyDescent="0.2">
      <c r="A3447" s="5">
        <v>3386</v>
      </c>
      <c r="B3447" s="138">
        <f>'Tax Sched 23'!D16</f>
        <v>856415</v>
      </c>
      <c r="C3447" s="2" t="s">
        <v>594</v>
      </c>
      <c r="D3447" s="2" t="str">
        <f t="shared" si="52"/>
        <v>Error?</v>
      </c>
    </row>
    <row r="3448" spans="1:4" x14ac:dyDescent="0.2">
      <c r="A3448" s="5">
        <v>3387</v>
      </c>
      <c r="B3448" s="138">
        <f>'Tax Sched 23'!C16</f>
        <v>128895</v>
      </c>
      <c r="D3448" s="2" t="str">
        <f t="shared" si="52"/>
        <v>Error?</v>
      </c>
    </row>
    <row r="3449" spans="1:4" x14ac:dyDescent="0.2">
      <c r="A3449" s="5">
        <v>3388</v>
      </c>
      <c r="B3449" s="138">
        <f>'Tax Sched 23'!F16</f>
        <v>861116</v>
      </c>
      <c r="C3449" s="2" t="s">
        <v>594</v>
      </c>
      <c r="D3449" s="2" t="str">
        <f t="shared" si="52"/>
        <v>Error?</v>
      </c>
    </row>
    <row r="3450" spans="1:4" x14ac:dyDescent="0.2">
      <c r="A3450" s="5">
        <v>3389</v>
      </c>
      <c r="B3450" s="138">
        <f>'Tax Sched 23'!E16</f>
        <v>990011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12351</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265009</v>
      </c>
      <c r="D3546" s="2" t="str">
        <f t="shared" si="54"/>
        <v>Error?</v>
      </c>
    </row>
    <row r="3547" spans="1:4" x14ac:dyDescent="0.2">
      <c r="A3547" s="10">
        <v>3486</v>
      </c>
      <c r="D3547" s="2" t="str">
        <f t="shared" si="54"/>
        <v>OK</v>
      </c>
    </row>
    <row r="3548" spans="1:4" x14ac:dyDescent="0.2">
      <c r="A3548" s="5">
        <v>3487</v>
      </c>
      <c r="B3548" s="138">
        <f>'Assets-Liab 5-6'!K6</f>
        <v>130492</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395501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75012</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75012</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320489</v>
      </c>
      <c r="D3567" s="2" t="str">
        <f t="shared" si="54"/>
        <v>Error?</v>
      </c>
    </row>
    <row r="3568" spans="1:4" x14ac:dyDescent="0.2">
      <c r="A3568" s="5">
        <v>3507</v>
      </c>
      <c r="B3568" s="138">
        <f>'Assets-Liab 5-6'!K41</f>
        <v>395501</v>
      </c>
      <c r="C3568" s="2" t="s">
        <v>594</v>
      </c>
      <c r="D3568" s="2" t="str">
        <f t="shared" si="54"/>
        <v>Error?</v>
      </c>
    </row>
    <row r="3569" spans="1:4" x14ac:dyDescent="0.2">
      <c r="A3569" s="5">
        <v>3508</v>
      </c>
      <c r="B3569" s="138">
        <f>'Acct Summary 7-8'!K4</f>
        <v>150585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150585</v>
      </c>
      <c r="C3571" s="2" t="s">
        <v>594</v>
      </c>
      <c r="D3571" s="2" t="str">
        <f t="shared" si="54"/>
        <v>Error?</v>
      </c>
    </row>
    <row r="3572" spans="1:4" x14ac:dyDescent="0.2">
      <c r="A3572" s="5">
        <v>3511</v>
      </c>
      <c r="B3572" s="138">
        <f>'Acct Summary 7-8'!K13</f>
        <v>114364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114364</v>
      </c>
      <c r="C3575" s="2" t="s">
        <v>594</v>
      </c>
      <c r="D3575" s="2" t="str">
        <f t="shared" si="54"/>
        <v>Error?</v>
      </c>
    </row>
    <row r="3576" spans="1:4" x14ac:dyDescent="0.2">
      <c r="A3576" s="5">
        <v>3515</v>
      </c>
      <c r="B3576" s="138">
        <f>'Acct Summary 7-8'!K20</f>
        <v>36221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36221</v>
      </c>
      <c r="C3588" s="2" t="s">
        <v>594</v>
      </c>
      <c r="D3588" s="2" t="str">
        <f t="shared" si="55"/>
        <v>Error?</v>
      </c>
    </row>
    <row r="3589" spans="1:4" x14ac:dyDescent="0.2">
      <c r="A3589" s="5">
        <v>3528</v>
      </c>
      <c r="B3589" s="138">
        <f>'Acct Summary 7-8'!K79</f>
        <v>284268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320489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39723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39723</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39723</v>
      </c>
      <c r="C3635" s="2" t="s">
        <v>594</v>
      </c>
      <c r="D3635" s="2" t="str">
        <f t="shared" si="55"/>
        <v>Error?</v>
      </c>
    </row>
    <row r="3636" spans="1:4" x14ac:dyDescent="0.2">
      <c r="A3636" s="5">
        <v>3575</v>
      </c>
      <c r="B3636" s="138">
        <f>'Expenditures 15-22'!E367</f>
        <v>39723</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74641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74641</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74641</v>
      </c>
      <c r="C3649" s="2" t="s">
        <v>594</v>
      </c>
      <c r="D3649" s="2" t="str">
        <f t="shared" si="56"/>
        <v>Error?</v>
      </c>
    </row>
    <row r="3650" spans="1:4" x14ac:dyDescent="0.2">
      <c r="A3650" s="5">
        <v>3589</v>
      </c>
      <c r="B3650" s="138">
        <f>'Expenditures 15-22'!G367</f>
        <v>74641</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114364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114364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114364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114364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36221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149324</v>
      </c>
      <c r="C3725" s="2" t="s">
        <v>594</v>
      </c>
      <c r="D3725" s="2" t="str">
        <f t="shared" si="57"/>
        <v>Error?</v>
      </c>
    </row>
    <row r="3726" spans="1:4" x14ac:dyDescent="0.2">
      <c r="A3726" s="5">
        <v>3665</v>
      </c>
      <c r="B3726" s="138">
        <f>'Tax Sched 23'!D13</f>
        <v>129791</v>
      </c>
      <c r="C3726" s="2" t="s">
        <v>594</v>
      </c>
      <c r="D3726" s="2" t="str">
        <f t="shared" si="57"/>
        <v>Error?</v>
      </c>
    </row>
    <row r="3727" spans="1:4" x14ac:dyDescent="0.2">
      <c r="A3727" s="5">
        <v>3666</v>
      </c>
      <c r="B3727" s="138">
        <f>'Tax Sched 23'!C13</f>
        <v>19533</v>
      </c>
      <c r="D3727" s="2" t="str">
        <f t="shared" si="57"/>
        <v>Error?</v>
      </c>
    </row>
    <row r="3728" spans="1:4" x14ac:dyDescent="0.2">
      <c r="A3728" s="5">
        <v>3667</v>
      </c>
      <c r="B3728" s="138">
        <f>'Tax Sched 23'!F13</f>
        <v>130492</v>
      </c>
      <c r="C3728" s="2" t="s">
        <v>594</v>
      </c>
      <c r="D3728" s="2" t="str">
        <f t="shared" si="57"/>
        <v>Error?</v>
      </c>
    </row>
    <row r="3729" spans="1:4" x14ac:dyDescent="0.2">
      <c r="A3729" s="5">
        <v>3668</v>
      </c>
      <c r="B3729" s="138">
        <f>'Tax Sched 23'!E13</f>
        <v>150025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15364</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15364</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15798516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56434538</v>
      </c>
      <c r="C4122" s="2" t="s">
        <v>594</v>
      </c>
      <c r="D4122" s="2" t="str">
        <f t="shared" si="63"/>
        <v>Error?</v>
      </c>
    </row>
    <row r="4123" spans="1:4" x14ac:dyDescent="0.2">
      <c r="A4123" s="5">
        <v>4062</v>
      </c>
      <c r="B4123" s="138">
        <f>'Acct Summary 7-8'!D10</f>
        <v>4298368</v>
      </c>
      <c r="C4123" s="2" t="s">
        <v>594</v>
      </c>
      <c r="D4123" s="2" t="str">
        <f t="shared" si="63"/>
        <v>Error?</v>
      </c>
    </row>
    <row r="4124" spans="1:4" x14ac:dyDescent="0.2">
      <c r="A4124" s="5">
        <v>4063</v>
      </c>
      <c r="B4124" s="138">
        <f>'Acct Summary 7-8'!E10</f>
        <v>2611691</v>
      </c>
      <c r="C4124" s="2" t="s">
        <v>594</v>
      </c>
      <c r="D4124" s="2" t="str">
        <f t="shared" si="63"/>
        <v>Error?</v>
      </c>
    </row>
    <row r="4125" spans="1:4" x14ac:dyDescent="0.2">
      <c r="A4125" s="5">
        <v>4064</v>
      </c>
      <c r="B4125" s="138">
        <f>'Acct Summary 7-8'!F10</f>
        <v>3527651</v>
      </c>
      <c r="C4125" s="2" t="s">
        <v>594</v>
      </c>
      <c r="D4125" s="2" t="str">
        <f t="shared" si="63"/>
        <v>Error?</v>
      </c>
    </row>
    <row r="4126" spans="1:4" x14ac:dyDescent="0.2">
      <c r="A4126" s="5">
        <v>4065</v>
      </c>
      <c r="B4126" s="138">
        <f>'Acct Summary 7-8'!G10</f>
        <v>1834361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129388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150585</v>
      </c>
      <c r="C4130" s="2" t="s">
        <v>594</v>
      </c>
      <c r="D4130" s="2" t="str">
        <f t="shared" si="63"/>
        <v>Error?</v>
      </c>
    </row>
    <row r="4131" spans="1:4" x14ac:dyDescent="0.2">
      <c r="A4131" s="5">
        <v>4070</v>
      </c>
      <c r="B4131" s="138">
        <f>'Acct Summary 7-8'!C18</f>
        <v>15798516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56120846</v>
      </c>
      <c r="C4136" s="2" t="s">
        <v>594</v>
      </c>
      <c r="D4136" s="2" t="str">
        <f t="shared" si="63"/>
        <v>Error?</v>
      </c>
    </row>
    <row r="4137" spans="1:4" x14ac:dyDescent="0.2">
      <c r="A4137" s="5">
        <v>4076</v>
      </c>
      <c r="B4137" s="138">
        <f>'Acct Summary 7-8'!D19</f>
        <v>4076013</v>
      </c>
      <c r="C4137" s="2" t="s">
        <v>594</v>
      </c>
      <c r="D4137" s="2" t="str">
        <f t="shared" si="63"/>
        <v>Error?</v>
      </c>
    </row>
    <row r="4138" spans="1:4" x14ac:dyDescent="0.2">
      <c r="A4138" s="5">
        <v>4077</v>
      </c>
      <c r="B4138" s="138">
        <f>'Acct Summary 7-8'!E19</f>
        <v>2871771</v>
      </c>
      <c r="C4138" s="2" t="s">
        <v>594</v>
      </c>
      <c r="D4138" s="2" t="str">
        <f t="shared" si="63"/>
        <v>Error?</v>
      </c>
    </row>
    <row r="4139" spans="1:4" x14ac:dyDescent="0.2">
      <c r="A4139" s="5">
        <v>4078</v>
      </c>
      <c r="B4139" s="138">
        <f>'Acct Summary 7-8'!F19</f>
        <v>3295895</v>
      </c>
      <c r="C4139" s="2" t="s">
        <v>594</v>
      </c>
      <c r="D4139" s="2" t="str">
        <f t="shared" si="63"/>
        <v>Error?</v>
      </c>
    </row>
    <row r="4140" spans="1:4" x14ac:dyDescent="0.2">
      <c r="A4140" s="5">
        <v>4079</v>
      </c>
      <c r="B4140" s="138">
        <f>'Acct Summary 7-8'!G19</f>
        <v>1461748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114364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28809003</v>
      </c>
      <c r="C4171" s="2" t="s">
        <v>594</v>
      </c>
      <c r="D4171" s="2" t="str">
        <f t="shared" si="64"/>
        <v>Error?</v>
      </c>
    </row>
    <row r="4172" spans="1:4" x14ac:dyDescent="0.2">
      <c r="A4172" s="5">
        <v>4111</v>
      </c>
      <c r="B4172" s="138">
        <f>'Short-Term Long-Term Debt 24'!J49</f>
        <v>26524193</v>
      </c>
      <c r="C4172" s="2" t="s">
        <v>594</v>
      </c>
      <c r="D4172" s="2" t="str">
        <f t="shared" si="64"/>
        <v>Error?</v>
      </c>
    </row>
    <row r="4173" spans="1:4" x14ac:dyDescent="0.2">
      <c r="A4173" s="5">
        <v>4112</v>
      </c>
      <c r="B4173" s="138">
        <f>'Short-Term Long-Term Debt 24'!H49</f>
        <v>1080431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-5969000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4046.5899999999997</v>
      </c>
      <c r="C4265" s="2" t="s">
        <v>594</v>
      </c>
      <c r="D4265" s="2" t="str">
        <f t="shared" si="65"/>
        <v>Error?</v>
      </c>
      <c r="E4265" s="128"/>
    </row>
    <row r="4266" spans="1:5" x14ac:dyDescent="0.2">
      <c r="A4266" s="12">
        <v>4205</v>
      </c>
      <c r="B4266" s="138">
        <f>('FP Info 3'!F10)*100000</f>
        <v>890.15</v>
      </c>
      <c r="C4266" s="2" t="s">
        <v>594</v>
      </c>
      <c r="D4266" s="2" t="str">
        <f t="shared" si="65"/>
        <v>Error?</v>
      </c>
      <c r="E4266" s="128"/>
    </row>
    <row r="4267" spans="1:5" x14ac:dyDescent="0.2">
      <c r="A4267" s="12">
        <v>4206</v>
      </c>
      <c r="B4267" s="138">
        <f>('FP Info 3'!H10)*100000</f>
        <v>582.66999999999996</v>
      </c>
      <c r="C4267" s="2" t="s">
        <v>594</v>
      </c>
      <c r="D4267" s="2" t="str">
        <f t="shared" si="65"/>
        <v>Error?</v>
      </c>
      <c r="E4267" s="128"/>
    </row>
    <row r="4268" spans="1:5" x14ac:dyDescent="0.2">
      <c r="A4268" s="12">
        <v>4207</v>
      </c>
      <c r="B4268" s="138">
        <f>('FP Info 3'!J10)*100000</f>
        <v>5519</v>
      </c>
      <c r="C4268" s="2" t="s">
        <v>594</v>
      </c>
      <c r="D4268" s="2" t="str">
        <f t="shared" si="65"/>
        <v>Error?</v>
      </c>
    </row>
    <row r="4269" spans="1:5" x14ac:dyDescent="0.2">
      <c r="A4269" s="12">
        <v>4208</v>
      </c>
      <c r="B4269" s="138">
        <f>'FP Info 3'!J16</f>
        <v>24773737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69521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536684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6914</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193084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34.28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40000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254933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74970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26545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291763215</v>
      </c>
      <c r="D4995" s="2" t="str">
        <f t="shared" si="77"/>
        <v>Error?</v>
      </c>
    </row>
    <row r="4996" spans="1:4" x14ac:dyDescent="0.2">
      <c r="A4996" s="12">
        <v>4935</v>
      </c>
      <c r="B4996" s="138">
        <f>'FP Info 3'!H31</f>
        <v>40263323.670000002</v>
      </c>
      <c r="D4996" s="2" t="str">
        <f t="shared" si="77"/>
        <v>Error?</v>
      </c>
    </row>
    <row r="4997" spans="1:4" x14ac:dyDescent="0.2">
      <c r="A4997" s="12">
        <v>4936</v>
      </c>
      <c r="B4997" s="138">
        <f>'FP Info 3'!H37</f>
        <v>28809003</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149324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11598766</v>
      </c>
      <c r="D5061" s="2" t="str">
        <f t="shared" si="78"/>
        <v>Error?</v>
      </c>
    </row>
    <row r="5062" spans="1:4" x14ac:dyDescent="0.2">
      <c r="A5062" s="10">
        <v>5001</v>
      </c>
      <c r="D5062" s="2" t="str">
        <f t="shared" si="78"/>
        <v>OK</v>
      </c>
    </row>
    <row r="5063" spans="1:4" x14ac:dyDescent="0.2">
      <c r="A5063" s="5">
        <v>5002</v>
      </c>
      <c r="B5063" s="138">
        <f>'Revenues 9-14'!C7</f>
        <v>2074724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13822814</v>
      </c>
      <c r="C5066" s="2" t="s">
        <v>594</v>
      </c>
      <c r="D5066" s="2" t="str">
        <f t="shared" si="78"/>
        <v>Error?</v>
      </c>
    </row>
    <row r="5067" spans="1:4" x14ac:dyDescent="0.2">
      <c r="A5067" s="5">
        <v>5006</v>
      </c>
      <c r="B5067" s="138">
        <f>'Revenues 9-14'!C14</f>
        <v>26629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26629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25225</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25750</v>
      </c>
      <c r="C5087" s="2" t="s">
        <v>594</v>
      </c>
      <c r="D5087" s="2" t="str">
        <f t="shared" si="78"/>
        <v>Error?</v>
      </c>
    </row>
    <row r="5088" spans="1:4" x14ac:dyDescent="0.2">
      <c r="A5088" s="5">
        <v>5027</v>
      </c>
      <c r="B5088" s="138">
        <f>'Revenues 9-14'!C65</f>
        <v>3395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3395</v>
      </c>
      <c r="C5090" s="2" t="s">
        <v>594</v>
      </c>
      <c r="D5090" s="2" t="str">
        <f t="shared" si="78"/>
        <v>Error?</v>
      </c>
    </row>
    <row r="5091" spans="1:4" x14ac:dyDescent="0.2">
      <c r="A5091" s="5">
        <v>5030</v>
      </c>
      <c r="B5091" s="138">
        <f>'Revenues 9-14'!C70</f>
        <v>23</v>
      </c>
      <c r="D5091" s="2" t="str">
        <f t="shared" si="78"/>
        <v>Error?</v>
      </c>
    </row>
    <row r="5092" spans="1:4" x14ac:dyDescent="0.2">
      <c r="A5092" s="5">
        <v>5031</v>
      </c>
      <c r="B5092" s="138">
        <f>'Revenues 9-14'!C71</f>
        <v>608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5167</v>
      </c>
      <c r="D5094" s="2" t="str">
        <f t="shared" si="78"/>
        <v>Error?</v>
      </c>
    </row>
    <row r="5095" spans="1:4" x14ac:dyDescent="0.2">
      <c r="A5095" s="5">
        <v>5034</v>
      </c>
      <c r="B5095" s="138">
        <f>'Revenues 9-14'!C74</f>
        <v>45340</v>
      </c>
      <c r="D5095" s="2" t="str">
        <f t="shared" si="78"/>
        <v>Error?</v>
      </c>
    </row>
    <row r="5096" spans="1:4" x14ac:dyDescent="0.2">
      <c r="A5096" s="5">
        <v>5035</v>
      </c>
      <c r="B5096" s="138">
        <f>'Revenues 9-14'!C75</f>
        <v>51091</v>
      </c>
      <c r="C5096" s="2" t="s">
        <v>594</v>
      </c>
      <c r="D5096" s="2" t="str">
        <f t="shared" si="78"/>
        <v>Error?</v>
      </c>
    </row>
    <row r="5097" spans="1:4" x14ac:dyDescent="0.2">
      <c r="A5097" s="5">
        <v>5036</v>
      </c>
      <c r="B5097" s="138">
        <f>'Revenues 9-14'!C77</f>
        <v>39300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17337</v>
      </c>
      <c r="D5101" s="2" t="str">
        <f t="shared" si="78"/>
        <v>Error?</v>
      </c>
    </row>
    <row r="5102" spans="1:4" x14ac:dyDescent="0.2">
      <c r="A5102" s="5">
        <v>5041</v>
      </c>
      <c r="B5102" s="138">
        <f>'Revenues 9-14'!C82</f>
        <v>56637</v>
      </c>
      <c r="C5102" s="2" t="s">
        <v>594</v>
      </c>
      <c r="D5102" s="2" t="str">
        <f t="shared" si="78"/>
        <v>Error?</v>
      </c>
    </row>
    <row r="5103" spans="1:4" x14ac:dyDescent="0.2">
      <c r="A5103" s="5">
        <v>5042</v>
      </c>
      <c r="B5103" s="138">
        <f>'Revenues 9-14'!C84</f>
        <v>386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4806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513</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5705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2268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12040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3304</v>
      </c>
      <c r="D5118" s="2" t="str">
        <f t="shared" si="78"/>
        <v>Error?</v>
      </c>
    </row>
    <row r="5119" spans="1:4" x14ac:dyDescent="0.2">
      <c r="A5119" s="5">
        <v>5058</v>
      </c>
      <c r="B5119" s="138">
        <f>'Revenues 9-14'!C107</f>
        <v>327</v>
      </c>
      <c r="D5119" s="2" t="str">
        <f t="shared" ref="D5119:D5182" si="79">IF(ISBLANK(B5119),"OK",IF(A5119-B5119=0,"OK","Error?"))</f>
        <v>Error?</v>
      </c>
    </row>
    <row r="5120" spans="1:4" x14ac:dyDescent="0.2">
      <c r="A5120" s="5">
        <v>5059</v>
      </c>
      <c r="B5120" s="138">
        <f>'Revenues 9-14'!C108</f>
        <v>99164</v>
      </c>
      <c r="C5120" s="2" t="s">
        <v>594</v>
      </c>
      <c r="D5120" s="2" t="str">
        <f t="shared" si="79"/>
        <v>Error?</v>
      </c>
    </row>
    <row r="5121" spans="1:4" x14ac:dyDescent="0.2">
      <c r="A5121" s="5">
        <v>5060</v>
      </c>
      <c r="B5121" s="138">
        <f>'Revenues 9-14'!C109</f>
        <v>14091185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19696665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19696665</v>
      </c>
      <c r="C5132" s="2" t="s">
        <v>594</v>
      </c>
      <c r="D5132" s="2" t="str">
        <f t="shared" si="79"/>
        <v>Error?</v>
      </c>
    </row>
    <row r="5133" spans="1:4" x14ac:dyDescent="0.2">
      <c r="A5133" s="5">
        <v>5072</v>
      </c>
      <c r="B5133" s="138">
        <f>'Revenues 9-14'!C124</f>
        <v>209126</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65369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274495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21073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23159</v>
      </c>
      <c r="C5161" s="2" t="s">
        <v>594</v>
      </c>
      <c r="D5161" s="2" t="str">
        <f t="shared" si="79"/>
        <v>Error?</v>
      </c>
    </row>
    <row r="5162" spans="1:4" x14ac:dyDescent="0.2">
      <c r="A5162" s="10">
        <v>5101</v>
      </c>
      <c r="D5162" s="2" t="str">
        <f t="shared" si="79"/>
        <v>OK</v>
      </c>
    </row>
    <row r="5163" spans="1:4" x14ac:dyDescent="0.2">
      <c r="A5163" s="5">
        <v>5102</v>
      </c>
      <c r="B5163" s="138">
        <f>'Revenues 9-14'!C142</f>
        <v>27030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27030</v>
      </c>
      <c r="C5165" s="2" t="s">
        <v>594</v>
      </c>
      <c r="D5165" s="2" t="str">
        <f t="shared" si="79"/>
        <v>Error?</v>
      </c>
    </row>
    <row r="5166" spans="1:4" x14ac:dyDescent="0.2">
      <c r="A5166" s="10">
        <v>5105</v>
      </c>
      <c r="D5166" s="2" t="str">
        <f t="shared" si="79"/>
        <v>OK</v>
      </c>
    </row>
    <row r="5167" spans="1:4" x14ac:dyDescent="0.2">
      <c r="A5167" s="5">
        <v>5106</v>
      </c>
      <c r="B5167" s="138">
        <f>'Revenues 9-14'!C145</f>
        <v>19889</v>
      </c>
      <c r="D5167" s="2" t="str">
        <f t="shared" si="79"/>
        <v>Error?</v>
      </c>
    </row>
    <row r="5168" spans="1:4" x14ac:dyDescent="0.2">
      <c r="A5168" s="5">
        <v>5107</v>
      </c>
      <c r="B5168" s="138">
        <f>'Revenues 9-14'!C147</f>
        <v>38759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334061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972326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20668991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74970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1329802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372591</v>
      </c>
      <c r="D5241" s="2" t="str">
        <f t="shared" si="80"/>
        <v>Error?</v>
      </c>
    </row>
    <row r="5242" spans="1:4" x14ac:dyDescent="0.2">
      <c r="A5242" s="5">
        <v>5181</v>
      </c>
      <c r="B5242" s="138">
        <f>'Revenues 9-14'!C197</f>
        <v>23766</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1726159</v>
      </c>
      <c r="C5246" s="2" t="s">
        <v>594</v>
      </c>
      <c r="D5246" s="2" t="str">
        <f t="shared" si="80"/>
        <v>Error?</v>
      </c>
    </row>
    <row r="5247" spans="1:4" x14ac:dyDescent="0.2">
      <c r="A5247" s="5">
        <v>5186</v>
      </c>
      <c r="B5247" s="138">
        <f>'Revenues 9-14'!C203</f>
        <v>1998278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1998278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32497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1111620</v>
      </c>
      <c r="D5278" s="2" t="str">
        <f t="shared" si="81"/>
        <v>Error?</v>
      </c>
    </row>
    <row r="5279" spans="1:4" x14ac:dyDescent="0.2">
      <c r="A5279" s="5">
        <v>5218</v>
      </c>
      <c r="B5279" s="138">
        <f>'Revenues 9-14'!C221</f>
        <v>97443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1241560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2131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2131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5800876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5875846</v>
      </c>
      <c r="C5326" s="2" t="s">
        <v>594</v>
      </c>
      <c r="D5326" s="2" t="str">
        <f t="shared" si="82"/>
        <v>Error?</v>
      </c>
    </row>
    <row r="5327" spans="1:4" x14ac:dyDescent="0.2">
      <c r="A5327" s="5">
        <v>5266</v>
      </c>
      <c r="B5327" s="138">
        <f>'Revenues 9-14'!C275</f>
        <v>40636022</v>
      </c>
      <c r="C5327" s="2" t="s">
        <v>594</v>
      </c>
      <c r="D5327" s="2" t="str">
        <f t="shared" si="82"/>
        <v>Error?</v>
      </c>
    </row>
    <row r="5328" spans="1:4" x14ac:dyDescent="0.2">
      <c r="A5328" s="5">
        <v>5267</v>
      </c>
      <c r="B5328" s="138">
        <f>'Revenues 9-14'!D5</f>
        <v>2178739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2178739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1407442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1407442</v>
      </c>
      <c r="C5339" s="2" t="s">
        <v>594</v>
      </c>
      <c r="D5339" s="2" t="str">
        <f t="shared" si="82"/>
        <v>Error?</v>
      </c>
    </row>
    <row r="5340" spans="1:4" x14ac:dyDescent="0.2">
      <c r="A5340" s="5">
        <v>5279</v>
      </c>
      <c r="B5340" s="138">
        <f>'Revenues 9-14'!D65</f>
        <v>12819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12819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39508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49368</v>
      </c>
      <c r="C5355" s="2" t="s">
        <v>594</v>
      </c>
      <c r="D5355" s="2" t="str">
        <f t="shared" si="82"/>
        <v>Error?</v>
      </c>
    </row>
    <row r="5356" spans="1:4" x14ac:dyDescent="0.2">
      <c r="A5356" s="5">
        <v>5295</v>
      </c>
      <c r="B5356" s="138">
        <f>'Revenues 9-14'!D109</f>
        <v>3648368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650000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650000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4298368</v>
      </c>
      <c r="C5508" s="2" t="s">
        <v>594</v>
      </c>
      <c r="D5508" s="2" t="str">
        <f t="shared" si="85"/>
        <v>Error?</v>
      </c>
    </row>
    <row r="5509" spans="1:4" x14ac:dyDescent="0.2">
      <c r="A5509" s="5">
        <v>5448</v>
      </c>
      <c r="B5509" s="138">
        <f>'Revenues 9-14'!E5</f>
        <v>2597609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2597609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2383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2383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11699</v>
      </c>
      <c r="C5526" s="2" t="s">
        <v>594</v>
      </c>
      <c r="D5526" s="2" t="str">
        <f t="shared" si="85"/>
        <v>Error?</v>
      </c>
    </row>
    <row r="5527" spans="1:4" x14ac:dyDescent="0.2">
      <c r="A5527" s="5">
        <v>5466</v>
      </c>
      <c r="B5527" s="138">
        <f>'Revenues 9-14'!E109</f>
        <v>2611691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2611691</v>
      </c>
      <c r="C5552" s="2" t="s">
        <v>594</v>
      </c>
      <c r="D5552" s="2" t="str">
        <f t="shared" si="85"/>
        <v>Error?</v>
      </c>
    </row>
    <row r="5553" spans="1:4" x14ac:dyDescent="0.2">
      <c r="A5553" s="5">
        <v>5492</v>
      </c>
      <c r="B5553" s="138">
        <f>'Revenues 9-14'!F5</f>
        <v>1592893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1592893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476782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158117</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634899</v>
      </c>
      <c r="C5579" s="2" t="s">
        <v>594</v>
      </c>
      <c r="D5579" s="2" t="str">
        <f t="shared" si="86"/>
        <v>Error?</v>
      </c>
    </row>
    <row r="5580" spans="1:4" x14ac:dyDescent="0.2">
      <c r="A5580" s="5">
        <v>5519</v>
      </c>
      <c r="B5580" s="138">
        <f>'Revenues 9-14'!F65</f>
        <v>14779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14779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6774</v>
      </c>
      <c r="C5587" s="2" t="s">
        <v>594</v>
      </c>
      <c r="D5587" s="2" t="str">
        <f t="shared" si="86"/>
        <v>Error?</v>
      </c>
    </row>
    <row r="5588" spans="1:4" x14ac:dyDescent="0.2">
      <c r="A5588" s="5">
        <v>5527</v>
      </c>
      <c r="B5588" s="138">
        <f>'Revenues 9-14'!F109</f>
        <v>2249345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200000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587418</v>
      </c>
      <c r="D5615" s="2" t="str">
        <f t="shared" si="86"/>
        <v>Error?</v>
      </c>
    </row>
    <row r="5616" spans="1:4" x14ac:dyDescent="0.2">
      <c r="A5616" s="10">
        <v>5555</v>
      </c>
      <c r="D5616" s="2" t="str">
        <f t="shared" si="86"/>
        <v>OK</v>
      </c>
    </row>
    <row r="5617" spans="1:4" x14ac:dyDescent="0.2">
      <c r="A5617" s="5">
        <v>5556</v>
      </c>
      <c r="B5617" s="138">
        <f>'Revenues 9-14'!F152</f>
        <v>450888</v>
      </c>
      <c r="D5617" s="2" t="str">
        <f t="shared" si="86"/>
        <v>Error?</v>
      </c>
    </row>
    <row r="5618" spans="1:4" x14ac:dyDescent="0.2">
      <c r="A5618" s="5">
        <v>5557</v>
      </c>
      <c r="B5618" s="138">
        <f>'Revenues 9-14'!F154</f>
        <v>1038306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1038306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1238306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40000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40000</v>
      </c>
      <c r="C5719" s="2" t="s">
        <v>594</v>
      </c>
      <c r="D5719" s="2" t="str">
        <f t="shared" si="88"/>
        <v>Error?</v>
      </c>
    </row>
    <row r="5720" spans="1:4" x14ac:dyDescent="0.2">
      <c r="A5720" s="5">
        <v>5659</v>
      </c>
      <c r="B5720" s="138">
        <f>'Revenues 9-14'!F275</f>
        <v>3527651</v>
      </c>
      <c r="C5720" s="2" t="s">
        <v>594</v>
      </c>
      <c r="D5720" s="2" t="str">
        <f t="shared" si="88"/>
        <v>Error?</v>
      </c>
    </row>
    <row r="5721" spans="1:4" x14ac:dyDescent="0.2">
      <c r="A5721" s="5">
        <v>5660</v>
      </c>
      <c r="B5721" s="138">
        <f>'Revenues 9-14'!G5</f>
        <v>741456</v>
      </c>
      <c r="D5721" s="2" t="str">
        <f t="shared" si="88"/>
        <v>Error?</v>
      </c>
    </row>
    <row r="5722" spans="1:4" x14ac:dyDescent="0.2">
      <c r="A5722" s="5">
        <v>5661</v>
      </c>
      <c r="B5722" s="138">
        <f>'Revenues 9-14'!G7</f>
        <v>0</v>
      </c>
      <c r="D5722" s="2" t="str">
        <f t="shared" si="88"/>
        <v>Error?</v>
      </c>
    </row>
    <row r="5723" spans="1:4" x14ac:dyDescent="0.2">
      <c r="A5723" s="5">
        <v>5662</v>
      </c>
      <c r="B5723" s="138">
        <f>'Revenues 9-14'!G8</f>
        <v>985310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1726766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96083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96083</v>
      </c>
      <c r="C5730" s="2" t="s">
        <v>594</v>
      </c>
      <c r="D5730" s="2" t="str">
        <f t="shared" si="88"/>
        <v>Error?</v>
      </c>
    </row>
    <row r="5731" spans="1:4" x14ac:dyDescent="0.2">
      <c r="A5731" s="5">
        <v>5670</v>
      </c>
      <c r="B5731" s="138">
        <f>'Revenues 9-14'!G65</f>
        <v>3712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3712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7800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1834361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99537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99537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29403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29403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448</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129388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149324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149324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673</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150585</v>
      </c>
      <c r="C6023" s="2" t="s">
        <v>594</v>
      </c>
      <c r="D6023" s="2" t="str">
        <f t="shared" si="93"/>
        <v>Error?</v>
      </c>
    </row>
    <row r="6024" spans="1:5" x14ac:dyDescent="0.2">
      <c r="A6024" s="5">
        <v>5963</v>
      </c>
      <c r="B6024" s="138">
        <f>'Revenues 9-14'!G109</f>
        <v>1834361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129388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150585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95607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3415.37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1950000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1036735</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581930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662</v>
      </c>
      <c r="D6099" s="2" t="str">
        <f t="shared" si="94"/>
        <v>Error?</v>
      </c>
      <c r="E6099" s="2" t="s">
        <v>199</v>
      </c>
    </row>
    <row r="6100" spans="1:5" x14ac:dyDescent="0.2">
      <c r="A6100">
        <v>6039</v>
      </c>
      <c r="B6100" s="138">
        <f>'Assets-Liab 5-6'!D9</f>
        <v>393</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676822</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1024190</v>
      </c>
      <c r="D6124" s="2" t="str">
        <f t="shared" si="94"/>
        <v>Error?</v>
      </c>
      <c r="E6124" s="2" t="s">
        <v>199</v>
      </c>
    </row>
    <row r="6125" spans="1:5" x14ac:dyDescent="0.2">
      <c r="A6125">
        <v>6064</v>
      </c>
      <c r="B6125" s="138">
        <f>'Assets-Liab 5-6'!C25</f>
        <v>1950000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155431</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143491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2750830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1925</v>
      </c>
      <c r="D6172" s="2" t="str">
        <f t="shared" si="95"/>
        <v>Error?</v>
      </c>
      <c r="E6172" s="2" t="s">
        <v>199</v>
      </c>
    </row>
    <row r="6173" spans="1:5" x14ac:dyDescent="0.2">
      <c r="A6173">
        <v>6112</v>
      </c>
      <c r="B6173" s="138">
        <f>'Assets-Liab 5-6'!G30</f>
        <v>77986</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355003</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355003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669187</v>
      </c>
      <c r="D6215" s="2" t="str">
        <f t="shared" si="96"/>
        <v>Error?</v>
      </c>
      <c r="E6215" s="2" t="s">
        <v>199</v>
      </c>
    </row>
    <row r="6216" spans="1:5" x14ac:dyDescent="0.2">
      <c r="A6216">
        <v>6155</v>
      </c>
      <c r="B6216" s="138">
        <f>'Assets-Liab 5-6'!J41</f>
        <v>1024190</v>
      </c>
      <c r="D6216" s="2" t="str">
        <f t="shared" si="96"/>
        <v>Error?</v>
      </c>
      <c r="E6216" s="2" t="s">
        <v>199</v>
      </c>
    </row>
    <row r="6217" spans="1:5" x14ac:dyDescent="0.2">
      <c r="A6217">
        <v>6156</v>
      </c>
      <c r="B6217" s="138">
        <f>'Assets-Liab 5-6'!J4</f>
        <v>406626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617564</v>
      </c>
      <c r="D6219" s="2" t="str">
        <f t="shared" si="96"/>
        <v>Error?</v>
      </c>
      <c r="E6219" s="2" t="s">
        <v>199</v>
      </c>
    </row>
    <row r="6220" spans="1:5" x14ac:dyDescent="0.2">
      <c r="A6220">
        <v>6159</v>
      </c>
      <c r="B6220" s="138">
        <f>'Acct Summary 7-8'!J4</f>
        <v>720601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720601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720601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572261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572261</v>
      </c>
      <c r="D6229" s="2" t="str">
        <f t="shared" si="96"/>
        <v>Error?</v>
      </c>
      <c r="E6229" s="2" t="s">
        <v>199</v>
      </c>
    </row>
    <row r="6230" spans="1:5" x14ac:dyDescent="0.2">
      <c r="A6230">
        <v>6169</v>
      </c>
      <c r="B6230" s="138">
        <f>'Acct Summary 7-8'!J20</f>
        <v>148340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7335972</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148340</v>
      </c>
      <c r="D6263" s="2" t="str">
        <f t="shared" si="96"/>
        <v>Error?</v>
      </c>
      <c r="E6263" s="2" t="s">
        <v>199</v>
      </c>
    </row>
    <row r="6264" spans="1:5" x14ac:dyDescent="0.2">
      <c r="A6264">
        <v>6203</v>
      </c>
      <c r="B6264" s="138">
        <f>'Acct Summary 7-8'!J79</f>
        <v>520847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669187</v>
      </c>
      <c r="D6266" s="2" t="str">
        <f t="shared" si="96"/>
        <v>Error?</v>
      </c>
      <c r="E6266" s="2" t="s">
        <v>199</v>
      </c>
    </row>
    <row r="6267" spans="1:5" x14ac:dyDescent="0.2">
      <c r="A6267">
        <v>6206</v>
      </c>
      <c r="B6267" s="138">
        <f>'Acct Summary 7-8'!C82</f>
        <v>5974989</v>
      </c>
      <c r="D6267" s="2" t="str">
        <f t="shared" si="96"/>
        <v>Error?</v>
      </c>
      <c r="E6267" s="2" t="s">
        <v>199</v>
      </c>
    </row>
    <row r="6268" spans="1:5" x14ac:dyDescent="0.2">
      <c r="A6268">
        <v>6207</v>
      </c>
      <c r="B6268" s="138">
        <f>'Acct Summary 7-8'!D82</f>
        <v>11622355</v>
      </c>
      <c r="D6268" s="2" t="str">
        <f t="shared" si="96"/>
        <v>Error?</v>
      </c>
      <c r="E6268" s="2" t="s">
        <v>199</v>
      </c>
    </row>
    <row r="6269" spans="1:5" x14ac:dyDescent="0.2">
      <c r="A6269">
        <v>6208</v>
      </c>
      <c r="B6269" s="138">
        <f>'Acct Summary 7-8'!E82</f>
        <v>-262462</v>
      </c>
      <c r="D6269" s="2" t="str">
        <f t="shared" si="96"/>
        <v>Error?</v>
      </c>
      <c r="E6269" s="2" t="s">
        <v>199</v>
      </c>
    </row>
    <row r="6270" spans="1:5" x14ac:dyDescent="0.2">
      <c r="A6270">
        <v>6209</v>
      </c>
      <c r="B6270" s="138">
        <f>'Acct Summary 7-8'!F82</f>
        <v>231756</v>
      </c>
      <c r="D6270" s="2" t="str">
        <f t="shared" si="96"/>
        <v>Error?</v>
      </c>
      <c r="E6270" s="2" t="s">
        <v>199</v>
      </c>
    </row>
    <row r="6271" spans="1:5" x14ac:dyDescent="0.2">
      <c r="A6271">
        <v>6210</v>
      </c>
      <c r="B6271" s="138">
        <f>'Acct Summary 7-8'!G82</f>
        <v>372613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-5421522</v>
      </c>
      <c r="D6273" s="2" t="str">
        <f t="shared" si="97"/>
        <v>Error?</v>
      </c>
      <c r="E6273" s="2" t="s">
        <v>199</v>
      </c>
    </row>
    <row r="6274" spans="1:5" x14ac:dyDescent="0.2">
      <c r="A6274">
        <v>6213</v>
      </c>
      <c r="B6274" s="138">
        <f>'Acct Summary 7-8'!J82</f>
        <v>148340</v>
      </c>
      <c r="D6274" s="2" t="str">
        <f t="shared" si="97"/>
        <v>Error?</v>
      </c>
      <c r="E6274" s="2" t="s">
        <v>199</v>
      </c>
    </row>
    <row r="6275" spans="1:5" x14ac:dyDescent="0.2">
      <c r="A6275">
        <v>6214</v>
      </c>
      <c r="B6275" s="138">
        <f>'Acct Summary 7-8'!K82</f>
        <v>36221</v>
      </c>
      <c r="D6275" s="2" t="str">
        <f t="shared" si="97"/>
        <v>Error?</v>
      </c>
      <c r="E6275" s="2" t="s">
        <v>199</v>
      </c>
    </row>
    <row r="6276" spans="1:5" x14ac:dyDescent="0.2">
      <c r="A6276">
        <v>6215</v>
      </c>
      <c r="B6276" s="138">
        <f>'Acct Summary 7-8'!C83</f>
        <v>1.0435540985553518</v>
      </c>
      <c r="D6276" s="2" t="str">
        <f t="shared" si="97"/>
        <v>Error?</v>
      </c>
      <c r="E6276" s="2" t="s">
        <v>199</v>
      </c>
    </row>
    <row r="6277" spans="1:5" x14ac:dyDescent="0.2">
      <c r="A6277">
        <v>6216</v>
      </c>
      <c r="B6277" s="138">
        <f>'Acct Summary 7-8'!D83</f>
        <v>0.79244051746926147</v>
      </c>
      <c r="D6277" s="2" t="str">
        <f t="shared" si="97"/>
        <v>Error?</v>
      </c>
      <c r="E6277" s="2" t="s">
        <v>199</v>
      </c>
    </row>
    <row r="6278" spans="1:5" x14ac:dyDescent="0.2">
      <c r="A6278">
        <v>6217</v>
      </c>
      <c r="B6278" s="138">
        <f>'Acct Summary 7-8'!E83</f>
        <v>-0.11487257146108429</v>
      </c>
      <c r="D6278" s="2" t="str">
        <f t="shared" si="97"/>
        <v>Error?</v>
      </c>
      <c r="E6278" s="2" t="s">
        <v>199</v>
      </c>
    </row>
    <row r="6279" spans="1:5" x14ac:dyDescent="0.2">
      <c r="A6279">
        <v>6218</v>
      </c>
      <c r="B6279" s="138">
        <f>'Acct Summary 7-8'!F83</f>
        <v>5.656636069146101E-2</v>
      </c>
      <c r="D6279" s="2" t="str">
        <f t="shared" si="97"/>
        <v>Error?</v>
      </c>
      <c r="E6279" s="2" t="s">
        <v>199</v>
      </c>
    </row>
    <row r="6280" spans="1:5" x14ac:dyDescent="0.2">
      <c r="A6280">
        <v>6219</v>
      </c>
      <c r="B6280" s="138">
        <f>'Acct Summary 7-8'!G83</f>
        <v>0.17055419941878108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-19.054641947104823</v>
      </c>
      <c r="D6282" s="2" t="str">
        <f t="shared" si="97"/>
        <v>Error?</v>
      </c>
      <c r="E6282" s="2" t="s">
        <v>199</v>
      </c>
    </row>
    <row r="6283" spans="1:5" x14ac:dyDescent="0.2">
      <c r="A6283">
        <v>6222</v>
      </c>
      <c r="B6283" s="138">
        <f>'Acct Summary 7-8'!J83</f>
        <v>0.22167196912073905</v>
      </c>
      <c r="D6283" s="2" t="str">
        <f t="shared" si="97"/>
        <v>Error?</v>
      </c>
      <c r="E6283" s="2" t="s">
        <v>199</v>
      </c>
    </row>
    <row r="6284" spans="1:5" x14ac:dyDescent="0.2">
      <c r="A6284">
        <v>6223</v>
      </c>
      <c r="B6284" s="138">
        <f>'Acct Summary 7-8'!K83</f>
        <v>0.11301791949177663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716553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716553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61951</v>
      </c>
      <c r="D6330" s="2" t="str">
        <f t="shared" si="97"/>
        <v>Error?</v>
      </c>
      <c r="E6330" s="2" t="s">
        <v>199</v>
      </c>
    </row>
    <row r="6331" spans="1:5" x14ac:dyDescent="0.2">
      <c r="A6331">
        <v>6270</v>
      </c>
      <c r="B6331" s="138">
        <f>'Revenues 9-14'!D100</f>
        <v>9817</v>
      </c>
      <c r="D6331" s="2" t="str">
        <f t="shared" si="97"/>
        <v>Error?</v>
      </c>
      <c r="E6331" s="2" t="s">
        <v>199</v>
      </c>
    </row>
    <row r="6332" spans="1:5" x14ac:dyDescent="0.2">
      <c r="A6332">
        <v>6271</v>
      </c>
      <c r="B6332" s="138">
        <f>'Revenues 9-14'!E100</f>
        <v>11699</v>
      </c>
      <c r="D6332" s="2" t="str">
        <f t="shared" si="97"/>
        <v>Error?</v>
      </c>
      <c r="E6332" s="2" t="s">
        <v>199</v>
      </c>
    </row>
    <row r="6333" spans="1:5" x14ac:dyDescent="0.2">
      <c r="A6333">
        <v>6272</v>
      </c>
      <c r="B6333" s="138">
        <f>'Revenues 9-14'!F100</f>
        <v>6724</v>
      </c>
      <c r="D6333" s="2" t="str">
        <f t="shared" si="97"/>
        <v>Error?</v>
      </c>
      <c r="E6333" s="2" t="s">
        <v>199</v>
      </c>
    </row>
    <row r="6334" spans="1:5" x14ac:dyDescent="0.2">
      <c r="A6334">
        <v>6273</v>
      </c>
      <c r="B6334" s="138">
        <f>'Revenues 9-14'!G100</f>
        <v>7800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448</v>
      </c>
      <c r="D6336" s="2" t="str">
        <f t="shared" si="98"/>
        <v>Error?</v>
      </c>
      <c r="E6336" s="2" t="s">
        <v>199</v>
      </c>
    </row>
    <row r="6337" spans="1:5" x14ac:dyDescent="0.2">
      <c r="A6337">
        <v>6276</v>
      </c>
      <c r="B6337" s="138">
        <f>'Revenues 9-14'!J100</f>
        <v>3272</v>
      </c>
      <c r="D6337" s="2" t="str">
        <f t="shared" si="98"/>
        <v>Error?</v>
      </c>
      <c r="E6337" s="2" t="s">
        <v>199</v>
      </c>
    </row>
    <row r="6338" spans="1:5" x14ac:dyDescent="0.2">
      <c r="A6338">
        <v>6277</v>
      </c>
      <c r="B6338" s="138">
        <f>'Revenues 9-14'!K100</f>
        <v>673</v>
      </c>
      <c r="D6338" s="2" t="str">
        <f t="shared" si="98"/>
        <v>Error?</v>
      </c>
      <c r="E6338" s="2" t="s">
        <v>199</v>
      </c>
    </row>
    <row r="6339" spans="1:5" x14ac:dyDescent="0.2">
      <c r="A6339">
        <v>6278</v>
      </c>
      <c r="B6339" s="138">
        <f>'Revenues 9-14'!C101</f>
        <v>14950</v>
      </c>
      <c r="D6339" s="2" t="str">
        <f t="shared" si="98"/>
        <v>Error?</v>
      </c>
      <c r="E6339" s="2" t="s">
        <v>199</v>
      </c>
    </row>
    <row r="6340" spans="1:5" x14ac:dyDescent="0.2">
      <c r="A6340">
        <v>6279</v>
      </c>
      <c r="B6340" s="138">
        <f>'Revenues 9-14'!C102</f>
        <v>4324</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3272</v>
      </c>
      <c r="D6351" s="2" t="str">
        <f t="shared" si="98"/>
        <v>Error?</v>
      </c>
      <c r="E6351" s="2" t="s">
        <v>199</v>
      </c>
    </row>
    <row r="6352" spans="1:5" x14ac:dyDescent="0.2">
      <c r="A6352">
        <v>6291</v>
      </c>
      <c r="B6352" s="138">
        <f>'Revenues 9-14'!J109</f>
        <v>720601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2086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415906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78626</v>
      </c>
      <c r="D6844" s="2" t="str">
        <f t="shared" si="105"/>
        <v>Error?</v>
      </c>
    </row>
    <row r="6845" spans="1:4" x14ac:dyDescent="0.2">
      <c r="A6845">
        <v>6784</v>
      </c>
      <c r="B6845" s="138">
        <f>'Expenditures 15-22'!J5</f>
        <v>3000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612808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660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26203</v>
      </c>
      <c r="D6853" s="2" t="str">
        <f t="shared" si="106"/>
        <v>Error?</v>
      </c>
    </row>
    <row r="6854" spans="1:4" x14ac:dyDescent="0.2">
      <c r="A6854">
        <v>6793</v>
      </c>
      <c r="B6854" s="138">
        <f>'Expenditures 15-22'!I10</f>
        <v>33275</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134988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864772</v>
      </c>
      <c r="D6880" s="2" t="str">
        <f t="shared" si="106"/>
        <v>Error?</v>
      </c>
    </row>
    <row r="6881" spans="1:4" x14ac:dyDescent="0.2">
      <c r="A6881">
        <v>6820</v>
      </c>
      <c r="B6881" s="138">
        <f>'Expenditures 15-22'!K22</f>
        <v>864772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2730</v>
      </c>
      <c r="D6884" s="2" t="str">
        <f t="shared" si="106"/>
        <v>Error?</v>
      </c>
    </row>
    <row r="6885" spans="1:4" x14ac:dyDescent="0.2">
      <c r="A6885">
        <v>6824</v>
      </c>
      <c r="B6885" s="138">
        <f>'Expenditures 15-22'!K24</f>
        <v>2730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111901</v>
      </c>
      <c r="D6902" s="2" t="str">
        <f t="shared" si="106"/>
        <v>Error?</v>
      </c>
    </row>
    <row r="6903" spans="1:4" x14ac:dyDescent="0.2">
      <c r="A6903">
        <v>6842</v>
      </c>
      <c r="B6903" s="138">
        <f>'Expenditures 15-22'!J33</f>
        <v>3660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4660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813</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5473</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268176</v>
      </c>
      <c r="D6920" s="2" t="str">
        <f t="shared" si="107"/>
        <v>Error?</v>
      </c>
    </row>
    <row r="6921" spans="1:4" x14ac:dyDescent="0.2">
      <c r="A6921">
        <v>6860</v>
      </c>
      <c r="B6921" s="138">
        <f>'Expenditures 15-22'!J45</f>
        <v>3120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268176</v>
      </c>
      <c r="D6924" s="2" t="str">
        <f t="shared" si="107"/>
        <v>Error?</v>
      </c>
    </row>
    <row r="6925" spans="1:4" x14ac:dyDescent="0.2">
      <c r="A6925">
        <v>6864</v>
      </c>
      <c r="B6925" s="138">
        <f>'Expenditures 15-22'!J47</f>
        <v>3120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18000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3660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3660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3100</v>
      </c>
      <c r="D6976" s="2" t="str">
        <f t="shared" si="108"/>
        <v>Error?</v>
      </c>
    </row>
    <row r="6977" spans="1:4" x14ac:dyDescent="0.2">
      <c r="A6977">
        <v>6916</v>
      </c>
      <c r="B6977" s="138">
        <f>'Expenditures 15-22'!I74</f>
        <v>268176</v>
      </c>
      <c r="D6977" s="2" t="str">
        <f t="shared" si="108"/>
        <v>Error?</v>
      </c>
    </row>
    <row r="6978" spans="1:4" x14ac:dyDescent="0.2">
      <c r="A6978">
        <v>6917</v>
      </c>
      <c r="B6978" s="138">
        <f>'Expenditures 15-22'!J74</f>
        <v>15353</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3253</v>
      </c>
      <c r="D6981" s="2" t="str">
        <f t="shared" si="108"/>
        <v>Error?</v>
      </c>
    </row>
    <row r="6982" spans="1:4" x14ac:dyDescent="0.2">
      <c r="A6982">
        <v>6921</v>
      </c>
      <c r="B6982" s="138">
        <f>'Expenditures 15-22'!K85</f>
        <v>3253</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218084</v>
      </c>
      <c r="D6987" s="2" t="str">
        <f t="shared" si="108"/>
        <v>Error?</v>
      </c>
    </row>
    <row r="6988" spans="1:4" x14ac:dyDescent="0.2">
      <c r="A6988">
        <v>6927</v>
      </c>
      <c r="B6988" s="138">
        <f>'Expenditures 15-22'!K88</f>
        <v>218084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221337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380077</v>
      </c>
      <c r="D7020" s="2" t="str">
        <f t="shared" si="108"/>
        <v>Error?</v>
      </c>
    </row>
    <row r="7021" spans="1:4" x14ac:dyDescent="0.2">
      <c r="A7021">
        <v>6960</v>
      </c>
      <c r="B7021" s="138">
        <f>'Expenditures 15-22'!J114</f>
        <v>19013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4999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4999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4999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572261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4999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720601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14124</v>
      </c>
      <c r="D7073" s="2" t="str">
        <f t="shared" si="109"/>
        <v>Error?</v>
      </c>
    </row>
    <row r="7074" spans="1:4" x14ac:dyDescent="0.2">
      <c r="A7074">
        <v>7013</v>
      </c>
      <c r="B7074" s="138">
        <f>'Expenditures 15-22'!K216</f>
        <v>14124</v>
      </c>
      <c r="D7074" s="2" t="str">
        <f t="shared" si="109"/>
        <v>Error?</v>
      </c>
    </row>
    <row r="7075" spans="1:4" x14ac:dyDescent="0.2">
      <c r="A7075">
        <v>7014</v>
      </c>
      <c r="B7075" s="138">
        <f>'Expenditures 15-22'!D218</f>
        <v>3728</v>
      </c>
      <c r="D7075" s="2" t="str">
        <f t="shared" si="109"/>
        <v>Error?</v>
      </c>
    </row>
    <row r="7076" spans="1:4" x14ac:dyDescent="0.2">
      <c r="A7076">
        <v>7015</v>
      </c>
      <c r="B7076" s="138">
        <f>'Expenditures 15-22'!K218</f>
        <v>3728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1351</v>
      </c>
      <c r="D7079" s="2" t="str">
        <f t="shared" si="109"/>
        <v>Error?</v>
      </c>
    </row>
    <row r="7080" spans="1:4" x14ac:dyDescent="0.2">
      <c r="A7080">
        <v>7019</v>
      </c>
      <c r="B7080" s="138">
        <f>'Expenditures 15-22'!K226</f>
        <v>1351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292081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292081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32652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32652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29091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29091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59597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59597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572261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572261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572261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572261</v>
      </c>
      <c r="D7224" s="2" t="str">
        <f t="shared" si="111"/>
        <v>Error?</v>
      </c>
    </row>
    <row r="7225" spans="1:4" x14ac:dyDescent="0.2">
      <c r="A7225">
        <v>7164</v>
      </c>
      <c r="B7225" s="138">
        <f>'Expenditures 15-22'!K343</f>
        <v>148340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123541</v>
      </c>
      <c r="D7246" s="2" t="str">
        <f t="shared" si="112"/>
        <v>Error?</v>
      </c>
    </row>
    <row r="7247" spans="1:4" x14ac:dyDescent="0.2">
      <c r="A7247">
        <f t="shared" si="113"/>
        <v>7186</v>
      </c>
      <c r="B7247" s="138">
        <f>'Expenditures 15-22'!E7</f>
        <v>71351</v>
      </c>
      <c r="D7247" s="2" t="str">
        <f t="shared" si="112"/>
        <v>Error?</v>
      </c>
    </row>
    <row r="7248" spans="1:4" x14ac:dyDescent="0.2">
      <c r="A7248">
        <f t="shared" si="113"/>
        <v>7187</v>
      </c>
      <c r="B7248" s="138">
        <f>'Expenditures 15-22'!F7</f>
        <v>2010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25919</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284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102250</v>
      </c>
      <c r="D7263" s="2" t="str">
        <f t="shared" si="112"/>
        <v>Error?</v>
      </c>
    </row>
    <row r="7264" spans="1:4" x14ac:dyDescent="0.2">
      <c r="A7264">
        <f t="shared" si="113"/>
        <v>7203</v>
      </c>
      <c r="B7264" s="138">
        <f>'Expenditures 15-22'!D17</f>
        <v>31626</v>
      </c>
      <c r="D7264" s="2" t="str">
        <f t="shared" si="112"/>
        <v>Error?</v>
      </c>
    </row>
    <row r="7265" spans="1:5" x14ac:dyDescent="0.2">
      <c r="A7265">
        <f t="shared" si="113"/>
        <v>7204</v>
      </c>
      <c r="B7265" s="138">
        <f>'Expenditures 15-22'!E17</f>
        <v>395</v>
      </c>
      <c r="D7265" s="2" t="str">
        <f t="shared" si="112"/>
        <v>Error?</v>
      </c>
    </row>
    <row r="7266" spans="1:5" x14ac:dyDescent="0.2">
      <c r="A7266">
        <f t="shared" si="113"/>
        <v>7205</v>
      </c>
      <c r="B7266" s="138">
        <f>'Expenditures 15-22'!F17</f>
        <v>717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385076</v>
      </c>
      <c r="D7624" s="2" t="str">
        <f t="shared" si="124"/>
        <v>Error?</v>
      </c>
      <c r="E7624" s="2" t="s">
        <v>19</v>
      </c>
    </row>
    <row r="7625" spans="1:5" x14ac:dyDescent="0.2">
      <c r="A7625">
        <f t="shared" si="123"/>
        <v>7564</v>
      </c>
      <c r="B7625" s="138">
        <f>'Cap Outlay Deprec 26'!I17</f>
        <v>38507.599999999999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1522334.6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158840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158840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14950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38759</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53709</v>
      </c>
      <c r="D7719" s="2" t="str">
        <f t="shared" si="126"/>
        <v>Error?</v>
      </c>
      <c r="E7719" s="2" t="s">
        <v>881</v>
      </c>
    </row>
    <row r="7720" spans="1:6" x14ac:dyDescent="0.2">
      <c r="A7720">
        <v>7659</v>
      </c>
      <c r="B7720" s="138">
        <f>'Rest Tax Levies-Tort Im 25'!H14</f>
        <v>2074724</v>
      </c>
      <c r="D7720" s="2" t="str">
        <f t="shared" si="126"/>
        <v>Error?</v>
      </c>
      <c r="E7720" s="2" t="s">
        <v>881</v>
      </c>
    </row>
    <row r="7721" spans="1:6" x14ac:dyDescent="0.2">
      <c r="A7721">
        <v>7660</v>
      </c>
      <c r="B7721" s="138">
        <f>'Rest Tax Levies-Tort Im 25'!K14</f>
        <v>53709</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5646564</v>
      </c>
      <c r="D7748" s="2" t="str">
        <f t="shared" si="127"/>
        <v>Error?</v>
      </c>
      <c r="E7748" s="4" t="s">
        <v>1400</v>
      </c>
    </row>
    <row r="7749" spans="1:6" x14ac:dyDescent="0.2">
      <c r="A7749">
        <v>7688</v>
      </c>
      <c r="B7749" s="138">
        <f>'Acct Summary 7-8'!D25</f>
        <v>11400000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330747</v>
      </c>
      <c r="D7759" s="2" t="str">
        <f t="shared" si="127"/>
        <v>Error?</v>
      </c>
      <c r="E7759" s="4" t="s">
        <v>1400</v>
      </c>
    </row>
    <row r="7760" spans="1:6" x14ac:dyDescent="0.2">
      <c r="A7760">
        <v>7699</v>
      </c>
      <c r="B7760" s="138">
        <f>'Aud Quest 2'!J90</f>
        <v>330747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0</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60"/>
  <sheetViews>
    <sheetView showGridLines="0" showZeros="0" topLeftCell="A4" zoomScale="110" zoomScaleNormal="110" workbookViewId="0">
      <selection activeCell="I13" sqref="I13:L1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47" t="s">
        <v>1253</v>
      </c>
      <c r="B2" s="2447"/>
      <c r="C2" s="2447"/>
      <c r="D2" s="2447"/>
      <c r="E2" s="2447"/>
      <c r="F2" s="2447"/>
      <c r="G2" s="2447"/>
      <c r="H2" s="2447"/>
      <c r="I2" s="2447"/>
      <c r="J2" s="2447"/>
      <c r="K2" s="2447"/>
      <c r="L2" s="2447"/>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47" t="s">
        <v>1799</v>
      </c>
      <c r="B4" s="2464"/>
      <c r="C4" s="2464"/>
      <c r="D4" s="2464"/>
      <c r="E4" s="2464"/>
      <c r="F4" s="2464"/>
      <c r="G4" s="2464"/>
      <c r="H4" s="2464"/>
      <c r="I4" s="2464"/>
      <c r="J4" s="2464"/>
      <c r="K4" s="2464"/>
      <c r="L4" s="2464"/>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7" t="str">
        <f>COVER!A17</f>
        <v>FREEPORT SCHOOL DISTRICT NO. 145</v>
      </c>
      <c r="B7" s="2428"/>
      <c r="C7" s="2428"/>
      <c r="D7" s="2465"/>
      <c r="E7" s="2466" t="str">
        <f>COVER!A13</f>
        <v>08-089-1450-22</v>
      </c>
      <c r="F7" s="2467"/>
      <c r="G7" s="2434" t="str">
        <f>COVER!T23</f>
        <v>066-004023</v>
      </c>
      <c r="H7" s="2435"/>
      <c r="I7" s="2435"/>
      <c r="J7" s="2435"/>
      <c r="K7" s="2435"/>
      <c r="L7" s="243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7"/>
      <c r="B9" s="2438"/>
      <c r="C9" s="2438"/>
      <c r="D9" s="2438"/>
      <c r="E9" s="2438"/>
      <c r="F9" s="2439"/>
      <c r="G9" s="2440" t="str">
        <f>COVER!T13</f>
        <v>WIPFLI LLP</v>
      </c>
      <c r="H9" s="2441"/>
      <c r="I9" s="2441"/>
      <c r="J9" s="2441"/>
      <c r="K9" s="2441"/>
      <c r="L9" s="2442"/>
    </row>
    <row r="10" spans="1:29" ht="13.5" customHeight="1" x14ac:dyDescent="0.2">
      <c r="A10" s="2424" t="str">
        <f>COVER!A38</f>
        <v>MIKE SCHIFFMAN</v>
      </c>
      <c r="B10" s="2425"/>
      <c r="C10" s="2425"/>
      <c r="D10" s="2425"/>
      <c r="E10" s="2425"/>
      <c r="F10" s="2426"/>
      <c r="G10" s="2440" t="str">
        <f>COVER!T17</f>
        <v>4949 Harrison Avenue</v>
      </c>
      <c r="H10" s="2453"/>
      <c r="I10" s="2453"/>
      <c r="J10" s="2453"/>
      <c r="K10" s="2453"/>
      <c r="L10" s="2454"/>
    </row>
    <row r="11" spans="1:29" ht="13.5" customHeight="1" x14ac:dyDescent="0.2">
      <c r="A11" s="1185" t="s">
        <v>1599</v>
      </c>
      <c r="B11" s="1186"/>
      <c r="C11" s="1187"/>
      <c r="D11" s="1192"/>
      <c r="E11" s="1187"/>
      <c r="F11" s="1191"/>
      <c r="G11" s="2440" t="str">
        <f>COVER!T19</f>
        <v>Rockford</v>
      </c>
      <c r="H11" s="2453"/>
      <c r="I11" s="2453"/>
      <c r="J11" s="2453"/>
      <c r="K11" s="2453"/>
      <c r="L11" s="2454"/>
    </row>
    <row r="12" spans="1:29" ht="13.5" customHeight="1" x14ac:dyDescent="0.2">
      <c r="A12" s="2458" t="s">
        <v>1598</v>
      </c>
      <c r="B12" s="2459"/>
      <c r="C12" s="2459"/>
      <c r="D12" s="2459"/>
      <c r="E12" s="2459"/>
      <c r="F12" s="2460"/>
      <c r="G12" s="2455"/>
      <c r="H12" s="2456"/>
      <c r="I12" s="2456"/>
      <c r="J12" s="2456"/>
      <c r="K12" s="2456"/>
      <c r="L12" s="2457"/>
    </row>
    <row r="13" spans="1:29" ht="13.5" customHeight="1" x14ac:dyDescent="0.2">
      <c r="A13" s="2440"/>
      <c r="B13" s="2453"/>
      <c r="C13" s="2453"/>
      <c r="D13" s="2453"/>
      <c r="E13" s="2453"/>
      <c r="F13" s="2454"/>
      <c r="G13" s="2448" t="s">
        <v>1600</v>
      </c>
      <c r="H13" s="2449"/>
      <c r="I13" s="2461" t="str">
        <f>COVER!T25</f>
        <v>mschueler@wipfli.com</v>
      </c>
      <c r="J13" s="2462"/>
      <c r="K13" s="2462"/>
      <c r="L13" s="2463"/>
    </row>
    <row r="14" spans="1:29" ht="13.5" customHeight="1" x14ac:dyDescent="0.2">
      <c r="A14" s="2440" t="str">
        <f>COVER!A19</f>
        <v>501 E. SOUTH STREET</v>
      </c>
      <c r="B14" s="2453"/>
      <c r="C14" s="2453"/>
      <c r="D14" s="2453"/>
      <c r="E14" s="2453"/>
      <c r="F14" s="2454"/>
      <c r="G14" s="1196" t="s">
        <v>1247</v>
      </c>
      <c r="H14" s="1194"/>
      <c r="I14" s="1194"/>
      <c r="J14" s="1194"/>
      <c r="K14" s="1194"/>
      <c r="L14" s="1195"/>
    </row>
    <row r="15" spans="1:29" ht="13.5" customHeight="1" x14ac:dyDescent="0.2">
      <c r="A15" s="2440" t="str">
        <f>COVER!A21</f>
        <v>FREEPORT</v>
      </c>
      <c r="B15" s="2453"/>
      <c r="C15" s="2453"/>
      <c r="D15" s="2453"/>
      <c r="E15" s="2453"/>
      <c r="F15" s="2454"/>
      <c r="G15" s="2450" t="str">
        <f>COVER!T15</f>
        <v>MATTHEW J. SCHUELER</v>
      </c>
      <c r="H15" s="2451"/>
      <c r="I15" s="2451"/>
      <c r="J15" s="2451"/>
      <c r="K15" s="2451"/>
      <c r="L15" s="2452"/>
    </row>
    <row r="16" spans="1:29" ht="12.2" customHeight="1" x14ac:dyDescent="0.2">
      <c r="A16" s="2430">
        <f>COVER!A25</f>
        <v>61032</v>
      </c>
      <c r="B16" s="2431"/>
      <c r="C16" s="2431"/>
      <c r="D16" s="2431"/>
      <c r="E16" s="2431"/>
      <c r="F16" s="2432"/>
      <c r="G16" s="2443"/>
      <c r="H16" s="2444"/>
      <c r="I16" s="2444"/>
      <c r="J16" s="2444"/>
      <c r="K16" s="2444"/>
      <c r="L16" s="2445"/>
    </row>
    <row r="17" spans="1:13" ht="12.2" customHeight="1" x14ac:dyDescent="0.2">
      <c r="A17" s="2446"/>
      <c r="B17" s="2431"/>
      <c r="C17" s="2431"/>
      <c r="D17" s="2431"/>
      <c r="E17" s="2431"/>
      <c r="F17" s="2432"/>
      <c r="G17" s="1196" t="s">
        <v>1246</v>
      </c>
      <c r="H17" s="1194"/>
      <c r="I17" s="1194"/>
      <c r="J17" s="1194"/>
      <c r="K17" s="1198" t="s">
        <v>1245</v>
      </c>
      <c r="L17" s="1191"/>
      <c r="M17" s="1184"/>
    </row>
    <row r="18" spans="1:13" ht="12.2" customHeight="1" x14ac:dyDescent="0.2">
      <c r="A18" s="2424"/>
      <c r="B18" s="2425"/>
      <c r="C18" s="2425"/>
      <c r="D18" s="2425"/>
      <c r="E18" s="2425"/>
      <c r="F18" s="2426"/>
      <c r="G18" s="2427" t="str">
        <f>COVER!T21</f>
        <v>815-626-1277</v>
      </c>
      <c r="H18" s="2428"/>
      <c r="I18" s="2428"/>
      <c r="J18" s="2428"/>
      <c r="K18" s="2427" t="str">
        <f>COVER!X21</f>
        <v>815-626-9118</v>
      </c>
      <c r="L18" s="242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2082</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2082</v>
      </c>
      <c r="C26" s="1203" t="s">
        <v>1801</v>
      </c>
    </row>
    <row r="27" spans="1:13" s="1199" customFormat="1" ht="9" customHeight="1" x14ac:dyDescent="0.2">
      <c r="B27" s="1204"/>
      <c r="C27" s="1203"/>
    </row>
    <row r="28" spans="1:13" s="1199" customFormat="1" ht="12.2" customHeight="1" x14ac:dyDescent="0.2">
      <c r="A28" s="1206"/>
      <c r="B28" s="1202" t="s">
        <v>2082</v>
      </c>
      <c r="C28" s="1203" t="s">
        <v>1802</v>
      </c>
    </row>
    <row r="29" spans="1:13" s="1199" customFormat="1" ht="9" customHeight="1" x14ac:dyDescent="0.2">
      <c r="A29" s="1206"/>
      <c r="B29" s="1204"/>
      <c r="C29" s="1203"/>
    </row>
    <row r="30" spans="1:13" s="1199" customFormat="1" ht="12.2" customHeight="1" x14ac:dyDescent="0.2">
      <c r="B30" s="1202" t="s">
        <v>2082</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2082</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2082</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2082</v>
      </c>
      <c r="C38" s="1203" t="s">
        <v>1647</v>
      </c>
    </row>
    <row r="39" spans="1:8" ht="9" customHeight="1" x14ac:dyDescent="0.2">
      <c r="B39" s="1204"/>
      <c r="C39" s="1207"/>
    </row>
    <row r="40" spans="1:8" s="1199" customFormat="1" ht="13.5" customHeight="1" x14ac:dyDescent="0.2">
      <c r="B40" s="1202" t="s">
        <v>2082</v>
      </c>
      <c r="C40" s="1203" t="s">
        <v>1648</v>
      </c>
    </row>
    <row r="41" spans="1:8" ht="9" customHeight="1" x14ac:dyDescent="0.2">
      <c r="A41" s="1208"/>
      <c r="B41" s="1204"/>
      <c r="C41" s="1207"/>
    </row>
    <row r="42" spans="1:8" s="1199" customFormat="1" ht="13.5" customHeight="1" x14ac:dyDescent="0.2">
      <c r="B42" s="1202" t="s">
        <v>2082</v>
      </c>
      <c r="C42" s="1203" t="s">
        <v>1945</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topLeftCell="A19" zoomScale="125" zoomScaleNormal="125" workbookViewId="0">
      <selection activeCell="B130" sqref="B13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8" t="str">
        <f>'Single Audit Cover'!A7</f>
        <v>FREEPORT SCHOOL DISTRICT NO. 145</v>
      </c>
      <c r="B1" s="2464"/>
      <c r="C1" s="2464"/>
      <c r="D1" s="2464"/>
    </row>
    <row r="2" spans="1:11" s="1215" customFormat="1" ht="12.75" x14ac:dyDescent="0.2">
      <c r="A2" s="2469" t="str">
        <f>'Single Audit Cover'!E7</f>
        <v>08-089-1450-22</v>
      </c>
      <c r="B2" s="2470"/>
      <c r="C2" s="2470"/>
      <c r="D2" s="2470"/>
    </row>
    <row r="3" spans="1:11" s="1215" customFormat="1" ht="12.75" x14ac:dyDescent="0.2">
      <c r="A3" s="2468" t="s">
        <v>1593</v>
      </c>
      <c r="B3" s="2464"/>
      <c r="C3" s="2464"/>
      <c r="D3" s="2464"/>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2081</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2081</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2081</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2081</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2081</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2081</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2081</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2081</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2081</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2081</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2081</v>
      </c>
      <c r="C42" s="1232">
        <v>11</v>
      </c>
      <c r="D42" s="1243" t="s">
        <v>1655</v>
      </c>
      <c r="E42" s="312"/>
    </row>
    <row r="43" spans="1:5" ht="3" customHeight="1" x14ac:dyDescent="0.2">
      <c r="A43" s="1222"/>
      <c r="B43" s="1239"/>
      <c r="C43" s="1240"/>
      <c r="D43" s="1221"/>
    </row>
    <row r="44" spans="1:5" x14ac:dyDescent="0.2">
      <c r="A44" s="1222"/>
      <c r="B44" s="1225" t="s">
        <v>2081</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2081</v>
      </c>
      <c r="C48" s="1226">
        <f>C44+1</f>
        <v>13</v>
      </c>
      <c r="D48" s="1237" t="s">
        <v>1656</v>
      </c>
    </row>
    <row r="49" spans="1:4" ht="3" customHeight="1" x14ac:dyDescent="0.2">
      <c r="A49" s="1222"/>
      <c r="B49" s="1229" t="s">
        <v>2081</v>
      </c>
      <c r="C49" s="1226"/>
      <c r="D49" s="1237"/>
    </row>
    <row r="50" spans="1:4" x14ac:dyDescent="0.2">
      <c r="A50" s="1222"/>
      <c r="B50" s="1225" t="s">
        <v>2081</v>
      </c>
      <c r="C50" s="1226">
        <f>C48+1</f>
        <v>14</v>
      </c>
      <c r="D50" s="1237" t="s">
        <v>1274</v>
      </c>
    </row>
    <row r="51" spans="1:4" ht="3" customHeight="1" x14ac:dyDescent="0.2">
      <c r="A51" s="1222"/>
      <c r="B51" s="1229"/>
      <c r="C51" s="1226"/>
      <c r="D51" s="1237"/>
    </row>
    <row r="52" spans="1:4" x14ac:dyDescent="0.2">
      <c r="A52" s="1222"/>
      <c r="B52" s="1225" t="s">
        <v>2081</v>
      </c>
      <c r="C52" s="1226">
        <f>C50+1</f>
        <v>15</v>
      </c>
      <c r="D52" s="1237" t="s">
        <v>1273</v>
      </c>
    </row>
    <row r="53" spans="1:4" ht="3" customHeight="1" x14ac:dyDescent="0.2">
      <c r="A53" s="1222"/>
      <c r="B53" s="1229"/>
      <c r="C53" s="1226"/>
      <c r="D53" s="1237"/>
    </row>
    <row r="54" spans="1:4" x14ac:dyDescent="0.2">
      <c r="A54" s="1222"/>
      <c r="B54" s="1225" t="s">
        <v>2081</v>
      </c>
      <c r="C54" s="1226">
        <f>C52+1</f>
        <v>16</v>
      </c>
      <c r="D54" s="1237" t="s">
        <v>1272</v>
      </c>
    </row>
    <row r="55" spans="1:4" ht="3" customHeight="1" x14ac:dyDescent="0.2">
      <c r="A55" s="1222"/>
      <c r="B55" s="1229"/>
      <c r="C55" s="1226"/>
      <c r="D55" s="1237"/>
    </row>
    <row r="56" spans="1:4" x14ac:dyDescent="0.2">
      <c r="A56" s="1222"/>
      <c r="B56" s="1225" t="s">
        <v>2081</v>
      </c>
      <c r="C56" s="1226">
        <f>C54+1</f>
        <v>17</v>
      </c>
      <c r="D56" s="1221" t="s">
        <v>1811</v>
      </c>
    </row>
    <row r="57" spans="1:4" ht="10.5" customHeight="1" x14ac:dyDescent="0.2">
      <c r="A57" s="1222"/>
      <c r="D57" s="1237" t="s">
        <v>1812</v>
      </c>
    </row>
    <row r="58" spans="1:4" x14ac:dyDescent="0.2">
      <c r="A58" s="1222"/>
      <c r="C58" s="1244" t="s">
        <v>2081</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2081</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2081</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2081</v>
      </c>
      <c r="D69" s="1237" t="s">
        <v>1816</v>
      </c>
    </row>
    <row r="70" spans="1:4" x14ac:dyDescent="0.2">
      <c r="A70" s="1222"/>
      <c r="D70" s="1246" t="s">
        <v>1268</v>
      </c>
    </row>
    <row r="71" spans="1:4" ht="3" customHeight="1" x14ac:dyDescent="0.2">
      <c r="A71" s="1222"/>
      <c r="D71" s="1221"/>
    </row>
    <row r="72" spans="1:4" x14ac:dyDescent="0.2">
      <c r="A72" s="1222"/>
      <c r="B72" s="1225" t="s">
        <v>2081</v>
      </c>
      <c r="C72" s="1226">
        <f>C56+1</f>
        <v>18</v>
      </c>
      <c r="D72" s="1247" t="s">
        <v>1817</v>
      </c>
    </row>
    <row r="73" spans="1:4" ht="3" customHeight="1" x14ac:dyDescent="0.2">
      <c r="A73" s="1222"/>
      <c r="B73" s="1229"/>
      <c r="C73" s="1226"/>
      <c r="D73" s="1247"/>
    </row>
    <row r="74" spans="1:4" x14ac:dyDescent="0.2">
      <c r="A74" s="1222"/>
      <c r="B74" s="1225" t="s">
        <v>2081</v>
      </c>
      <c r="C74" s="1226">
        <f>C72+1</f>
        <v>19</v>
      </c>
      <c r="D74" s="1237" t="s">
        <v>1267</v>
      </c>
    </row>
    <row r="75" spans="1:4" ht="3" customHeight="1" x14ac:dyDescent="0.2">
      <c r="A75" s="1222"/>
      <c r="B75" s="1229"/>
      <c r="C75" s="1226"/>
      <c r="D75" s="1237"/>
    </row>
    <row r="76" spans="1:4" x14ac:dyDescent="0.2">
      <c r="A76" s="1222"/>
      <c r="B76" s="1225" t="s">
        <v>2081</v>
      </c>
      <c r="C76" s="1226">
        <f>C74+1</f>
        <v>20</v>
      </c>
      <c r="D76" s="1248" t="s">
        <v>1818</v>
      </c>
    </row>
    <row r="77" spans="1:4" ht="3" customHeight="1" x14ac:dyDescent="0.2">
      <c r="A77" s="1222"/>
      <c r="B77" s="1229"/>
      <c r="C77" s="1226"/>
      <c r="D77" s="1248"/>
    </row>
    <row r="78" spans="1:4" x14ac:dyDescent="0.2">
      <c r="A78" s="1222"/>
      <c r="B78" s="1225" t="s">
        <v>2081</v>
      </c>
      <c r="C78" s="1226">
        <f>C76+1</f>
        <v>21</v>
      </c>
      <c r="D78" s="1221" t="s">
        <v>1819</v>
      </c>
    </row>
    <row r="79" spans="1:4" ht="3" customHeight="1" x14ac:dyDescent="0.2">
      <c r="A79" s="1222"/>
      <c r="B79" s="1229"/>
      <c r="C79" s="1226"/>
      <c r="D79" s="1221"/>
    </row>
    <row r="80" spans="1:4" x14ac:dyDescent="0.2">
      <c r="A80" s="1222"/>
      <c r="B80" s="1225" t="s">
        <v>2081</v>
      </c>
      <c r="C80" s="1226">
        <f>C78+1</f>
        <v>22</v>
      </c>
      <c r="D80" s="1249" t="s">
        <v>1820</v>
      </c>
    </row>
    <row r="81" spans="1:4" ht="3" customHeight="1" x14ac:dyDescent="0.2">
      <c r="A81" s="1222"/>
      <c r="B81" s="1229"/>
      <c r="C81" s="1226"/>
      <c r="D81" s="1249"/>
    </row>
    <row r="82" spans="1:4" x14ac:dyDescent="0.2">
      <c r="A82" s="1222"/>
      <c r="B82" s="1225" t="s">
        <v>2081</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2081</v>
      </c>
      <c r="C85" s="1226">
        <f>C82+1</f>
        <v>24</v>
      </c>
      <c r="D85" s="1237" t="s">
        <v>1265</v>
      </c>
    </row>
    <row r="86" spans="1:4" ht="3" customHeight="1" x14ac:dyDescent="0.2">
      <c r="A86" s="1222"/>
      <c r="B86" s="1229"/>
      <c r="C86" s="1226"/>
      <c r="D86" s="1237"/>
    </row>
    <row r="87" spans="1:4" x14ac:dyDescent="0.2">
      <c r="A87" s="1222"/>
      <c r="B87" s="1225" t="s">
        <v>2081</v>
      </c>
      <c r="C87" s="1226">
        <f>C85+1</f>
        <v>25</v>
      </c>
      <c r="D87" s="1237" t="s">
        <v>1264</v>
      </c>
    </row>
    <row r="88" spans="1:4" ht="3" customHeight="1" x14ac:dyDescent="0.2">
      <c r="A88" s="1222"/>
      <c r="B88" s="1229"/>
      <c r="C88" s="1226"/>
      <c r="D88" s="1237"/>
    </row>
    <row r="89" spans="1:4" x14ac:dyDescent="0.2">
      <c r="A89" s="1222"/>
      <c r="B89" s="1225" t="s">
        <v>2081</v>
      </c>
      <c r="C89" s="1226">
        <f>C87+1</f>
        <v>26</v>
      </c>
      <c r="D89" s="1237" t="s">
        <v>1263</v>
      </c>
    </row>
    <row r="90" spans="1:4" ht="3" customHeight="1" x14ac:dyDescent="0.2">
      <c r="A90" s="1222"/>
      <c r="B90" s="1229"/>
      <c r="C90" s="1226"/>
      <c r="D90" s="1237"/>
    </row>
    <row r="91" spans="1:4" x14ac:dyDescent="0.2">
      <c r="A91" s="1222"/>
      <c r="B91" s="1225" t="s">
        <v>2081</v>
      </c>
      <c r="C91" s="1226">
        <f>C89+1</f>
        <v>27</v>
      </c>
      <c r="D91" s="1237" t="s">
        <v>1822</v>
      </c>
    </row>
    <row r="92" spans="1:4" x14ac:dyDescent="0.2">
      <c r="A92" s="1222"/>
      <c r="B92" s="1250"/>
      <c r="C92" s="1244" t="s">
        <v>2081</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2081</v>
      </c>
      <c r="C96" s="1226">
        <f>C91+1</f>
        <v>28</v>
      </c>
      <c r="D96" s="1237" t="s">
        <v>1823</v>
      </c>
    </row>
    <row r="97" spans="1:4" ht="3" customHeight="1" x14ac:dyDescent="0.2">
      <c r="A97" s="1222"/>
      <c r="B97" s="1229"/>
      <c r="C97" s="1226"/>
      <c r="D97" s="1237"/>
    </row>
    <row r="98" spans="1:4" x14ac:dyDescent="0.2">
      <c r="A98" s="1222"/>
      <c r="B98" s="1225" t="s">
        <v>2081</v>
      </c>
      <c r="C98" s="1226">
        <f>C96+1</f>
        <v>29</v>
      </c>
      <c r="D98" s="1251" t="s">
        <v>1824</v>
      </c>
    </row>
    <row r="99" spans="1:4" ht="3" customHeight="1" x14ac:dyDescent="0.2">
      <c r="A99" s="1222"/>
      <c r="B99" s="1229"/>
      <c r="C99" s="1226"/>
      <c r="D99" s="1251"/>
    </row>
    <row r="100" spans="1:4" x14ac:dyDescent="0.2">
      <c r="A100" s="1222"/>
      <c r="B100" s="1225" t="s">
        <v>2081</v>
      </c>
      <c r="C100" s="1226">
        <f>C98+1</f>
        <v>30</v>
      </c>
      <c r="D100" s="1237" t="s">
        <v>1825</v>
      </c>
    </row>
    <row r="101" spans="1:4" ht="3" customHeight="1" x14ac:dyDescent="0.2">
      <c r="A101" s="1222"/>
      <c r="B101" s="1229"/>
      <c r="C101" s="1226"/>
      <c r="D101" s="1252"/>
    </row>
    <row r="102" spans="1:4" x14ac:dyDescent="0.2">
      <c r="A102" s="1222"/>
      <c r="B102" s="1225" t="s">
        <v>2081</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2081</v>
      </c>
      <c r="C106" s="1226">
        <f>C102+1</f>
        <v>32</v>
      </c>
      <c r="D106" s="1221" t="s">
        <v>1661</v>
      </c>
    </row>
    <row r="107" spans="1:4" ht="3" customHeight="1" x14ac:dyDescent="0.2">
      <c r="A107" s="1222"/>
      <c r="B107" s="1229"/>
      <c r="C107" s="1226"/>
      <c r="D107" s="1221"/>
    </row>
    <row r="108" spans="1:4" x14ac:dyDescent="0.2">
      <c r="A108" s="1222"/>
      <c r="B108" s="1225" t="s">
        <v>2081</v>
      </c>
      <c r="C108" s="1226">
        <v>33</v>
      </c>
      <c r="D108" s="1221" t="s">
        <v>1826</v>
      </c>
    </row>
    <row r="109" spans="1:4" ht="3" customHeight="1" x14ac:dyDescent="0.2">
      <c r="A109" s="1222"/>
      <c r="B109" s="1229"/>
      <c r="C109" s="1226"/>
      <c r="D109" s="1221"/>
    </row>
    <row r="110" spans="1:4" x14ac:dyDescent="0.2">
      <c r="A110" s="1222"/>
      <c r="B110" s="1225" t="s">
        <v>2081</v>
      </c>
      <c r="C110" s="1226">
        <f>C108+1</f>
        <v>34</v>
      </c>
      <c r="D110" s="1221" t="s">
        <v>1260</v>
      </c>
    </row>
    <row r="111" spans="1:4" ht="3" customHeight="1" x14ac:dyDescent="0.2">
      <c r="A111" s="1222"/>
      <c r="B111" s="1229"/>
      <c r="C111" s="1226"/>
      <c r="D111" s="1221"/>
    </row>
    <row r="112" spans="1:4" x14ac:dyDescent="0.2">
      <c r="A112" s="1222"/>
      <c r="B112" s="1225" t="s">
        <v>2081</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2081</v>
      </c>
      <c r="C115" s="1226">
        <f>C112+1</f>
        <v>36</v>
      </c>
      <c r="D115" s="1237" t="s">
        <v>1257</v>
      </c>
    </row>
    <row r="116" spans="1:4" ht="3" customHeight="1" x14ac:dyDescent="0.2">
      <c r="A116" s="1222"/>
      <c r="B116" s="1229"/>
      <c r="C116" s="1226"/>
      <c r="D116" s="1237"/>
    </row>
    <row r="117" spans="1:4" x14ac:dyDescent="0.2">
      <c r="A117" s="1222"/>
      <c r="B117" s="1225" t="s">
        <v>2081</v>
      </c>
      <c r="C117" s="1226">
        <f>C115+1</f>
        <v>37</v>
      </c>
      <c r="D117" s="1237" t="s">
        <v>1827</v>
      </c>
    </row>
    <row r="118" spans="1:4" ht="3" customHeight="1" x14ac:dyDescent="0.2">
      <c r="A118" s="1222"/>
      <c r="B118" s="1229"/>
      <c r="C118" s="1226"/>
      <c r="D118" s="1237"/>
    </row>
    <row r="119" spans="1:4" x14ac:dyDescent="0.2">
      <c r="A119" s="1222"/>
      <c r="B119" s="1225" t="s">
        <v>2081</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2081</v>
      </c>
      <c r="C123" s="1226">
        <f>C119+1</f>
        <v>39</v>
      </c>
      <c r="D123" s="1247" t="s">
        <v>1946</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D44" sqref="D44"/>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2" t="str">
        <f>'Single Audit Cover'!A7</f>
        <v>FREEPORT SCHOOL DISTRICT NO. 145</v>
      </c>
      <c r="B1" s="2472"/>
      <c r="C1" s="2472"/>
      <c r="D1" s="2472"/>
      <c r="E1" s="2472"/>
    </row>
    <row r="2" spans="1:5" x14ac:dyDescent="0.2">
      <c r="A2" s="2473" t="str">
        <f>'Single Audit Cover'!E7</f>
        <v>08-089-1450-22</v>
      </c>
      <c r="B2" s="2473"/>
      <c r="C2" s="2473"/>
      <c r="D2" s="2473"/>
      <c r="E2" s="2473"/>
    </row>
    <row r="3" spans="1:5" ht="4.5" customHeight="1" x14ac:dyDescent="0.2"/>
    <row r="4" spans="1:5" x14ac:dyDescent="0.2">
      <c r="A4" s="2472" t="s">
        <v>1307</v>
      </c>
      <c r="B4" s="2472"/>
      <c r="C4" s="2472"/>
      <c r="D4" s="2472"/>
      <c r="E4" s="2472"/>
    </row>
    <row r="5" spans="1:5" x14ac:dyDescent="0.2">
      <c r="A5" s="2475" t="str">
        <f>'Single Audit Cover'!A4</f>
        <v>Year Ending June 30, 2018</v>
      </c>
      <c r="B5" s="2475"/>
      <c r="C5" s="2475"/>
      <c r="D5" s="2475"/>
      <c r="E5" s="2475"/>
    </row>
    <row r="6" spans="1:5" x14ac:dyDescent="0.2">
      <c r="A6" s="2472" t="s">
        <v>1306</v>
      </c>
      <c r="B6" s="2472"/>
      <c r="C6" s="2472"/>
      <c r="D6" s="2472"/>
      <c r="E6" s="2472"/>
    </row>
    <row r="8" spans="1:5" x14ac:dyDescent="0.2">
      <c r="A8" s="1260" t="s">
        <v>1305</v>
      </c>
    </row>
    <row r="10" spans="1:5" x14ac:dyDescent="0.2">
      <c r="A10" s="1261" t="s">
        <v>1304</v>
      </c>
      <c r="B10" s="1262" t="s">
        <v>1303</v>
      </c>
      <c r="C10" s="1262"/>
      <c r="D10" s="1263">
        <f>SUM('Acct Summary 7-8'!C7:K7)</f>
        <v>5915846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95607</v>
      </c>
    </row>
    <row r="15" spans="1:5" x14ac:dyDescent="0.2">
      <c r="A15" s="1261"/>
      <c r="B15" s="1262"/>
      <c r="C15" s="1262"/>
    </row>
    <row r="16" spans="1:5" x14ac:dyDescent="0.2">
      <c r="A16" s="1261" t="s">
        <v>1954</v>
      </c>
      <c r="B16" s="1262"/>
      <c r="C16" s="1262"/>
    </row>
    <row r="17" spans="1:4" x14ac:dyDescent="0.2">
      <c r="A17" s="1261" t="s">
        <v>1601</v>
      </c>
      <c r="B17" s="1262" t="s">
        <v>1298</v>
      </c>
      <c r="C17" s="1262"/>
      <c r="D17" s="1264">
        <f>-SUM('Revenues 9-14'!C271:D271,'Revenues 9-14'!F271:G271)</f>
        <v>-576684</v>
      </c>
    </row>
    <row r="19" spans="1:4" ht="13.5" thickBot="1" x14ac:dyDescent="0.25">
      <c r="A19" s="1265" t="s">
        <v>1297</v>
      </c>
      <c r="D19" s="1266">
        <f>SUM(D10:D17)</f>
        <v>5434769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74"/>
      <c r="B24" s="2474"/>
      <c r="D24" s="1268"/>
    </row>
    <row r="25" spans="1:4" x14ac:dyDescent="0.2">
      <c r="A25" s="2471"/>
      <c r="B25" s="2471"/>
      <c r="D25" s="1268"/>
    </row>
    <row r="26" spans="1:4" x14ac:dyDescent="0.2">
      <c r="A26" s="2471"/>
      <c r="B26" s="2471"/>
      <c r="D26" s="1268"/>
    </row>
    <row r="27" spans="1:4" x14ac:dyDescent="0.2">
      <c r="A27" s="2471"/>
      <c r="B27" s="2471"/>
      <c r="D27" s="1268"/>
    </row>
    <row r="28" spans="1:4" x14ac:dyDescent="0.2">
      <c r="A28" s="2471"/>
      <c r="B28" s="2471"/>
      <c r="D28" s="1268"/>
    </row>
    <row r="29" spans="1:4" x14ac:dyDescent="0.2">
      <c r="A29" s="2471"/>
      <c r="B29" s="2471"/>
      <c r="D29" s="1268"/>
    </row>
    <row r="30" spans="1:4" x14ac:dyDescent="0.2">
      <c r="A30" s="2471"/>
      <c r="B30" s="2471"/>
      <c r="D30" s="1268"/>
    </row>
    <row r="32" spans="1:4" x14ac:dyDescent="0.2">
      <c r="A32" s="1260" t="s">
        <v>1295</v>
      </c>
      <c r="D32" s="1263">
        <f>SUM(D19:D30)</f>
        <v>5434769</v>
      </c>
    </row>
    <row r="33" spans="1:4" x14ac:dyDescent="0.2">
      <c r="D33" s="1269"/>
    </row>
    <row r="34" spans="1:4" x14ac:dyDescent="0.2">
      <c r="A34" s="317" t="s">
        <v>1294</v>
      </c>
    </row>
    <row r="35" spans="1:4" x14ac:dyDescent="0.2">
      <c r="A35" s="317" t="s">
        <v>1293</v>
      </c>
      <c r="B35" s="1258" t="s">
        <v>1292</v>
      </c>
      <c r="D35" s="1270">
        <v>5465551</v>
      </c>
    </row>
    <row r="37" spans="1:4" x14ac:dyDescent="0.2">
      <c r="A37" s="1260" t="s">
        <v>1291</v>
      </c>
    </row>
    <row r="39" spans="1:4" ht="13.35" customHeight="1" x14ac:dyDescent="0.2">
      <c r="A39" s="1267" t="s">
        <v>1290</v>
      </c>
    </row>
    <row r="40" spans="1:4" x14ac:dyDescent="0.2">
      <c r="A40" s="2471" t="s">
        <v>2187</v>
      </c>
      <c r="B40" s="2471"/>
      <c r="D40" s="1268">
        <v>-1</v>
      </c>
    </row>
    <row r="41" spans="1:4" x14ac:dyDescent="0.2">
      <c r="A41" s="2471" t="s">
        <v>2188</v>
      </c>
      <c r="B41" s="2471"/>
      <c r="D41" s="1271">
        <v>-30781</v>
      </c>
    </row>
    <row r="42" spans="1:4" x14ac:dyDescent="0.2">
      <c r="A42" s="2471"/>
      <c r="B42" s="2471"/>
      <c r="D42" s="1271"/>
    </row>
    <row r="43" spans="1:4" x14ac:dyDescent="0.2">
      <c r="A43" s="2471"/>
      <c r="B43" s="2471"/>
      <c r="D43" s="1271"/>
    </row>
    <row r="44" spans="1:4" x14ac:dyDescent="0.2">
      <c r="A44" s="2471"/>
      <c r="B44" s="2471"/>
      <c r="D44" s="1271"/>
    </row>
    <row r="45" spans="1:4" x14ac:dyDescent="0.2">
      <c r="A45" s="2471"/>
      <c r="B45" s="2471"/>
      <c r="D45" s="1271"/>
    </row>
    <row r="47" spans="1:4" x14ac:dyDescent="0.2">
      <c r="B47" s="1272" t="s">
        <v>1289</v>
      </c>
      <c r="C47" s="1272"/>
      <c r="D47" s="1273">
        <f>SUM(D35:D45)</f>
        <v>5434769</v>
      </c>
    </row>
    <row r="49" spans="2:4" x14ac:dyDescent="0.2">
      <c r="B49" s="1272" t="s">
        <v>1288</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topLeftCell="A25"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7" t="str">
        <f>'Single Audit Cover'!A7</f>
        <v>FREEPORT SCHOOL DISTRICT NO. 145</v>
      </c>
      <c r="B1" s="2477"/>
      <c r="C1" s="2477"/>
      <c r="D1" s="2477"/>
      <c r="E1" s="2477"/>
      <c r="F1" s="2477"/>
    </row>
    <row r="2" spans="1:7" ht="13.5" customHeight="1" x14ac:dyDescent="0.2">
      <c r="A2" s="2478" t="str">
        <f>'Single Audit Cover'!E7</f>
        <v>08-089-1450-22</v>
      </c>
      <c r="B2" s="2478"/>
      <c r="C2" s="2478"/>
      <c r="D2" s="2478"/>
      <c r="E2" s="2478"/>
      <c r="F2" s="2478"/>
      <c r="G2" s="1275"/>
    </row>
    <row r="3" spans="1:7" ht="15.75" customHeight="1" x14ac:dyDescent="0.2">
      <c r="A3" s="2479" t="s">
        <v>1333</v>
      </c>
      <c r="B3" s="2479"/>
      <c r="C3" s="2479"/>
      <c r="D3" s="2479"/>
      <c r="E3" s="2479"/>
      <c r="F3" s="2479"/>
    </row>
    <row r="4" spans="1:7" ht="13.5" customHeight="1" x14ac:dyDescent="0.2">
      <c r="A4" s="2480" t="str">
        <f>'Single Audit Cover'!A4</f>
        <v>Year Ending June 30, 2018</v>
      </c>
      <c r="B4" s="2480"/>
      <c r="C4" s="2480"/>
      <c r="D4" s="2480"/>
      <c r="E4" s="2480"/>
      <c r="F4" s="2480"/>
    </row>
    <row r="5" spans="1:7" ht="8.25" customHeight="1" x14ac:dyDescent="0.2">
      <c r="C5" s="317"/>
      <c r="D5" s="317"/>
    </row>
    <row r="6" spans="1:7" ht="13.5" customHeight="1" x14ac:dyDescent="0.2">
      <c r="A6" s="1276" t="s">
        <v>1831</v>
      </c>
      <c r="C6" s="317"/>
      <c r="D6" s="317"/>
    </row>
    <row r="7" spans="1:7" ht="60.95" customHeight="1" x14ac:dyDescent="0.2">
      <c r="A7" s="2476" t="s">
        <v>2190</v>
      </c>
      <c r="B7" s="2476"/>
      <c r="C7" s="2476"/>
      <c r="D7" s="2476"/>
      <c r="E7" s="2476"/>
      <c r="F7" s="2476"/>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2081</v>
      </c>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76" t="s">
        <v>1833</v>
      </c>
      <c r="B13" s="2476"/>
      <c r="C13" s="2476"/>
      <c r="D13" s="2476"/>
      <c r="E13" s="2476"/>
      <c r="F13" s="2476"/>
    </row>
    <row r="14" spans="1:7" ht="9.75" customHeight="1" x14ac:dyDescent="0.2">
      <c r="C14" s="1260"/>
      <c r="D14" s="1260"/>
    </row>
    <row r="15" spans="1:7" ht="13.5" customHeight="1" x14ac:dyDescent="0.2">
      <c r="C15" s="1869" t="s">
        <v>1332</v>
      </c>
      <c r="D15" s="2482" t="s">
        <v>1331</v>
      </c>
      <c r="E15" s="2482"/>
      <c r="F15" s="2482"/>
    </row>
    <row r="16" spans="1:7" ht="13.5" customHeight="1" x14ac:dyDescent="0.2">
      <c r="A16" s="1282"/>
      <c r="B16" s="1276" t="s">
        <v>1330</v>
      </c>
      <c r="C16" s="1869" t="s">
        <v>1329</v>
      </c>
      <c r="D16" s="2483" t="s">
        <v>1670</v>
      </c>
      <c r="E16" s="2483"/>
      <c r="F16" s="2483"/>
    </row>
    <row r="17" spans="1:6" ht="20.45" customHeight="1" x14ac:dyDescent="0.2">
      <c r="A17" s="1283"/>
      <c r="B17" s="1284" t="s">
        <v>2113</v>
      </c>
      <c r="C17" s="1285"/>
      <c r="D17" s="2481"/>
      <c r="E17" s="2481"/>
      <c r="F17" s="2481"/>
    </row>
    <row r="18" spans="1:6" ht="20.65" customHeight="1" x14ac:dyDescent="0.2">
      <c r="A18" s="1283"/>
      <c r="B18" s="1284"/>
      <c r="C18" s="1285"/>
      <c r="D18" s="2481"/>
      <c r="E18" s="2481"/>
      <c r="F18" s="2481"/>
    </row>
    <row r="19" spans="1:6" ht="20.65" customHeight="1" x14ac:dyDescent="0.2">
      <c r="A19" s="1283"/>
      <c r="B19" s="1284"/>
      <c r="C19" s="1285"/>
      <c r="D19" s="2481"/>
      <c r="E19" s="2481"/>
      <c r="F19" s="2481"/>
    </row>
    <row r="20" spans="1:6" ht="20.65" customHeight="1" x14ac:dyDescent="0.2">
      <c r="A20" s="1283"/>
      <c r="B20" s="1284"/>
      <c r="C20" s="1285"/>
      <c r="D20" s="2481"/>
      <c r="E20" s="2481"/>
      <c r="F20" s="2481"/>
    </row>
    <row r="21" spans="1:6" ht="20.65" customHeight="1" x14ac:dyDescent="0.2">
      <c r="A21" s="1283"/>
      <c r="B21" s="1284"/>
      <c r="C21" s="1285"/>
      <c r="D21" s="2481"/>
      <c r="E21" s="2481"/>
      <c r="F21" s="2481"/>
    </row>
    <row r="22" spans="1:6" ht="20.65" customHeight="1" x14ac:dyDescent="0.2">
      <c r="A22" s="1283"/>
      <c r="B22" s="1284"/>
      <c r="C22" s="1285"/>
      <c r="D22" s="2481"/>
      <c r="E22" s="2481"/>
      <c r="F22" s="2481"/>
    </row>
    <row r="23" spans="1:6" ht="20.65" customHeight="1" x14ac:dyDescent="0.2">
      <c r="A23" s="1283"/>
      <c r="B23" s="1284"/>
      <c r="C23" s="1285"/>
      <c r="D23" s="2481"/>
      <c r="E23" s="2481"/>
      <c r="F23" s="2481"/>
    </row>
    <row r="24" spans="1:6" ht="20.65" customHeight="1" x14ac:dyDescent="0.2">
      <c r="A24" s="1283"/>
      <c r="B24" s="1284"/>
      <c r="C24" s="1285"/>
      <c r="D24" s="2481"/>
      <c r="E24" s="2481"/>
      <c r="F24" s="2481"/>
    </row>
    <row r="25" spans="1:6" ht="20.65" customHeight="1" x14ac:dyDescent="0.2">
      <c r="A25" s="1283"/>
      <c r="B25" s="1284"/>
      <c r="C25" s="1285"/>
      <c r="D25" s="2481"/>
      <c r="E25" s="2481"/>
      <c r="F25" s="2481"/>
    </row>
    <row r="26" spans="1:6" ht="20.65" customHeight="1" x14ac:dyDescent="0.2">
      <c r="A26" s="1283"/>
      <c r="B26" s="1284"/>
      <c r="C26" s="1285"/>
      <c r="D26" s="2481"/>
      <c r="E26" s="2481"/>
      <c r="F26" s="2481"/>
    </row>
    <row r="27" spans="1:6" ht="20.65" customHeight="1" x14ac:dyDescent="0.2">
      <c r="A27" s="1283"/>
      <c r="B27" s="1284"/>
      <c r="C27" s="1285"/>
      <c r="D27" s="2481"/>
      <c r="E27" s="2481"/>
      <c r="F27" s="2481"/>
    </row>
    <row r="28" spans="1:6" ht="20.65" customHeight="1" x14ac:dyDescent="0.2">
      <c r="A28" s="1283"/>
      <c r="B28" s="1284"/>
      <c r="C28" s="1285"/>
      <c r="D28" s="2481"/>
      <c r="E28" s="2481"/>
      <c r="F28" s="2481"/>
    </row>
    <row r="29" spans="1:6" ht="20.65" customHeight="1" x14ac:dyDescent="0.2">
      <c r="A29" s="1283"/>
      <c r="B29" s="1284"/>
      <c r="C29" s="1285"/>
      <c r="D29" s="2481"/>
      <c r="E29" s="2481"/>
      <c r="F29" s="2481"/>
    </row>
    <row r="30" spans="1:6" ht="12" customHeight="1" x14ac:dyDescent="0.2">
      <c r="A30" s="328"/>
      <c r="B30" s="328"/>
      <c r="C30" s="1477"/>
      <c r="D30" s="1926"/>
      <c r="E30" s="1286"/>
    </row>
    <row r="31" spans="1:6" ht="12" customHeight="1" x14ac:dyDescent="0.2">
      <c r="A31" s="1287" t="s">
        <v>1630</v>
      </c>
      <c r="B31" s="328"/>
      <c r="C31" s="1477"/>
      <c r="D31" s="1926"/>
      <c r="E31" s="1286"/>
    </row>
    <row r="32" spans="1:6" ht="30" customHeight="1" x14ac:dyDescent="0.2">
      <c r="A32" s="2485" t="s">
        <v>2235</v>
      </c>
      <c r="B32" s="2485"/>
      <c r="C32" s="2485"/>
      <c r="D32" s="2485"/>
      <c r="E32" s="2485"/>
      <c r="F32" s="2485"/>
    </row>
    <row r="33" spans="1:6" ht="13.5" customHeight="1" x14ac:dyDescent="0.2">
      <c r="A33" s="328" t="s">
        <v>1509</v>
      </c>
      <c r="B33" s="328"/>
      <c r="C33" s="1954">
        <f>'SEFA Reconcile'!D14</f>
        <v>95607</v>
      </c>
      <c r="D33" s="1926"/>
      <c r="E33" s="1286"/>
    </row>
    <row r="34" spans="1:6" ht="13.5" customHeight="1" x14ac:dyDescent="0.2">
      <c r="A34" s="328" t="s">
        <v>1947</v>
      </c>
      <c r="B34" s="328"/>
      <c r="C34" s="1288">
        <v>0</v>
      </c>
      <c r="D34" s="1926" t="s">
        <v>1671</v>
      </c>
      <c r="E34" s="2486">
        <f>+C33+C34</f>
        <v>95607</v>
      </c>
      <c r="F34" s="2487"/>
    </row>
    <row r="35" spans="1:6" ht="12" customHeight="1" x14ac:dyDescent="0.2">
      <c r="A35" s="328"/>
      <c r="B35" s="328"/>
      <c r="C35" s="1927"/>
      <c r="D35" s="1926"/>
      <c r="E35" s="1289"/>
      <c r="F35" s="1290"/>
    </row>
    <row r="36" spans="1:6" ht="13.5" customHeight="1" x14ac:dyDescent="0.2">
      <c r="A36" s="1287" t="s">
        <v>1631</v>
      </c>
      <c r="B36" s="328"/>
      <c r="C36" s="1477"/>
      <c r="D36" s="1926"/>
      <c r="E36" s="1286"/>
    </row>
    <row r="37" spans="1:6" ht="14.25" customHeight="1" x14ac:dyDescent="0.2">
      <c r="A37" s="328" t="s">
        <v>1563</v>
      </c>
      <c r="B37" s="328"/>
      <c r="C37" s="1928"/>
      <c r="D37" s="1926"/>
      <c r="E37" s="1286"/>
    </row>
    <row r="38" spans="1:6" ht="14.25" customHeight="1" x14ac:dyDescent="0.2">
      <c r="A38" s="328"/>
      <c r="B38" s="328" t="s">
        <v>1510</v>
      </c>
      <c r="C38" s="1291">
        <v>0</v>
      </c>
      <c r="D38" s="1926"/>
      <c r="E38" s="1286"/>
    </row>
    <row r="39" spans="1:6" ht="14.25" customHeight="1" x14ac:dyDescent="0.2">
      <c r="A39" s="328"/>
      <c r="B39" s="328" t="s">
        <v>1511</v>
      </c>
      <c r="C39" s="1291">
        <v>0</v>
      </c>
      <c r="D39" s="1926"/>
      <c r="E39" s="1286"/>
    </row>
    <row r="40" spans="1:6" ht="14.25" customHeight="1" x14ac:dyDescent="0.2">
      <c r="A40" s="328"/>
      <c r="B40" s="328" t="s">
        <v>1512</v>
      </c>
      <c r="C40" s="1291">
        <v>0</v>
      </c>
      <c r="D40" s="1926"/>
      <c r="E40" s="1286"/>
    </row>
    <row r="41" spans="1:6" ht="14.25" customHeight="1" x14ac:dyDescent="0.2">
      <c r="A41" s="328"/>
      <c r="B41" s="328" t="s">
        <v>1513</v>
      </c>
      <c r="C41" s="1291">
        <v>0</v>
      </c>
      <c r="D41" s="1926"/>
      <c r="E41" s="1286"/>
    </row>
    <row r="42" spans="1:6" ht="14.25" customHeight="1" x14ac:dyDescent="0.2">
      <c r="A42" s="328" t="s">
        <v>1514</v>
      </c>
      <c r="B42" s="328"/>
      <c r="C42" s="1924">
        <v>0</v>
      </c>
      <c r="D42" s="1926"/>
      <c r="E42" s="1286"/>
    </row>
    <row r="43" spans="1:6" ht="14.25" customHeight="1" x14ac:dyDescent="0.2">
      <c r="A43" s="328" t="s">
        <v>1515</v>
      </c>
      <c r="B43" s="328"/>
      <c r="C43" s="1292" t="s">
        <v>401</v>
      </c>
      <c r="D43" s="1926"/>
      <c r="E43" s="1286"/>
    </row>
    <row r="44" spans="1:6" ht="14.25" customHeight="1" x14ac:dyDescent="0.2">
      <c r="A44" s="328"/>
      <c r="B44" s="328"/>
      <c r="C44" s="1928" t="s">
        <v>1516</v>
      </c>
      <c r="D44" s="1926"/>
      <c r="E44" s="1286"/>
    </row>
    <row r="45" spans="1:6" ht="13.5" customHeight="1" x14ac:dyDescent="0.2">
      <c r="B45" s="322"/>
      <c r="C45" s="1293"/>
      <c r="D45" s="1293"/>
    </row>
    <row r="46" spans="1:6" x14ac:dyDescent="0.2">
      <c r="A46" s="1294" t="s">
        <v>1834</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88" t="s">
        <v>1672</v>
      </c>
      <c r="C49" s="2488"/>
      <c r="D49" s="2488"/>
      <c r="E49" s="1398"/>
    </row>
    <row r="50" spans="1:5" s="1299" customFormat="1" ht="3.75" customHeight="1" x14ac:dyDescent="0.2">
      <c r="A50" s="1298"/>
      <c r="B50" s="1868"/>
      <c r="C50" s="1868"/>
      <c r="D50" s="1868"/>
      <c r="E50" s="1398"/>
    </row>
    <row r="51" spans="1:5" s="1299" customFormat="1" ht="20.25" customHeight="1" x14ac:dyDescent="0.2">
      <c r="A51" s="1300">
        <v>6</v>
      </c>
      <c r="B51" s="2484" t="s">
        <v>1632</v>
      </c>
      <c r="C51" s="2484"/>
      <c r="D51" s="2484"/>
    </row>
    <row r="52" spans="1:5" ht="14.25" customHeight="1" x14ac:dyDescent="0.2">
      <c r="A52" s="1300"/>
      <c r="B52" s="2484"/>
      <c r="C52" s="2484"/>
      <c r="D52" s="248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I28" sqref="I2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FREEPORT SCHOOL DISTRICT NO. 145</v>
      </c>
      <c r="C1" s="2489"/>
      <c r="D1" s="2489"/>
      <c r="E1" s="2489"/>
      <c r="F1" s="2489"/>
      <c r="G1" s="2489"/>
      <c r="H1" s="2489"/>
      <c r="I1" s="2489"/>
      <c r="J1" s="2489"/>
      <c r="K1" s="2489"/>
      <c r="L1" s="2489"/>
      <c r="M1" s="2489"/>
    </row>
    <row r="2" spans="2:14" ht="15" x14ac:dyDescent="0.2">
      <c r="B2" s="2478" t="str">
        <f>'Single Audit Cover'!E7</f>
        <v>08-089-1450-22</v>
      </c>
      <c r="C2" s="2478"/>
      <c r="D2" s="2478"/>
      <c r="E2" s="2478"/>
      <c r="F2" s="2478"/>
      <c r="G2" s="2478"/>
      <c r="H2" s="2478"/>
      <c r="I2" s="2478"/>
      <c r="J2" s="2478"/>
      <c r="K2" s="2478"/>
      <c r="L2" s="2478"/>
      <c r="M2" s="2478"/>
      <c r="N2" s="1301"/>
    </row>
    <row r="3" spans="2:14" ht="15" x14ac:dyDescent="0.2">
      <c r="B3" s="2490" t="s">
        <v>1281</v>
      </c>
      <c r="C3" s="2490"/>
      <c r="D3" s="2490"/>
      <c r="E3" s="2490"/>
      <c r="F3" s="2490"/>
      <c r="G3" s="2490"/>
      <c r="H3" s="2490"/>
      <c r="I3" s="2490"/>
      <c r="J3" s="2490"/>
      <c r="K3" s="2490"/>
      <c r="L3" s="2490"/>
      <c r="M3" s="2490"/>
      <c r="N3" s="1301"/>
    </row>
    <row r="4" spans="2:14" ht="15" x14ac:dyDescent="0.2">
      <c r="B4" s="2491" t="str">
        <f>'Single Audit Cover'!A4</f>
        <v>Year Ending June 30, 2018</v>
      </c>
      <c r="C4" s="2491"/>
      <c r="D4" s="2491"/>
      <c r="E4" s="2491"/>
      <c r="F4" s="2491"/>
      <c r="G4" s="2491"/>
      <c r="H4" s="2491"/>
      <c r="I4" s="2491"/>
      <c r="J4" s="2491"/>
      <c r="K4" s="2491"/>
      <c r="L4" s="2491"/>
      <c r="M4" s="249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2101</v>
      </c>
      <c r="C11" s="1337"/>
      <c r="D11" s="1338"/>
      <c r="E11" s="1339"/>
      <c r="F11" s="1339"/>
      <c r="G11" s="1339"/>
      <c r="H11" s="1339"/>
      <c r="I11" s="1339"/>
      <c r="J11" s="1339"/>
      <c r="K11" s="1339"/>
      <c r="L11" s="1339">
        <f>+G11+I11+K11</f>
        <v>0</v>
      </c>
      <c r="M11" s="1339"/>
    </row>
    <row r="12" spans="2:14" ht="20.100000000000001" customHeight="1" x14ac:dyDescent="0.2">
      <c r="B12" s="1336" t="s">
        <v>2102</v>
      </c>
      <c r="C12" s="1340"/>
      <c r="D12" s="1341"/>
      <c r="E12" s="1342"/>
      <c r="F12" s="1342"/>
      <c r="G12" s="1342"/>
      <c r="H12" s="1342"/>
      <c r="I12" s="1342"/>
      <c r="J12" s="1342"/>
      <c r="K12" s="1342"/>
      <c r="L12" s="1339">
        <f t="shared" ref="L12:L27" si="0">+G12+I12+K12</f>
        <v>0</v>
      </c>
      <c r="M12" s="1342"/>
    </row>
    <row r="13" spans="2:14" ht="20.100000000000001" customHeight="1" x14ac:dyDescent="0.2">
      <c r="B13" s="1336" t="s">
        <v>2191</v>
      </c>
      <c r="C13" s="1340">
        <v>10.555</v>
      </c>
      <c r="D13" s="1341">
        <v>2017</v>
      </c>
      <c r="E13" s="1342">
        <v>27818</v>
      </c>
      <c r="F13" s="1342"/>
      <c r="G13" s="1342">
        <v>27818</v>
      </c>
      <c r="H13" s="1342"/>
      <c r="I13" s="1342"/>
      <c r="J13" s="1342"/>
      <c r="K13" s="1342"/>
      <c r="L13" s="1339">
        <f t="shared" si="0"/>
        <v>27818</v>
      </c>
      <c r="M13" s="1342" t="s">
        <v>2112</v>
      </c>
    </row>
    <row r="14" spans="2:14" ht="20.100000000000001" customHeight="1" x14ac:dyDescent="0.2">
      <c r="B14" s="1336" t="s">
        <v>2191</v>
      </c>
      <c r="C14" s="1340">
        <v>10.555</v>
      </c>
      <c r="D14" s="1341">
        <v>2018</v>
      </c>
      <c r="E14" s="1342"/>
      <c r="F14" s="1342">
        <v>24214</v>
      </c>
      <c r="G14" s="1342"/>
      <c r="H14" s="1342"/>
      <c r="I14" s="1342">
        <v>24214</v>
      </c>
      <c r="J14" s="1342"/>
      <c r="K14" s="1342"/>
      <c r="L14" s="1339">
        <f t="shared" si="0"/>
        <v>24214</v>
      </c>
      <c r="M14" s="1342" t="s">
        <v>2112</v>
      </c>
    </row>
    <row r="15" spans="2:14" ht="20.100000000000001" customHeight="1" x14ac:dyDescent="0.2">
      <c r="B15" s="1336" t="s">
        <v>2192</v>
      </c>
      <c r="C15" s="1340">
        <v>10.555</v>
      </c>
      <c r="D15" s="1341">
        <v>2017</v>
      </c>
      <c r="E15" s="1342">
        <v>24800</v>
      </c>
      <c r="F15" s="1342"/>
      <c r="G15" s="1342">
        <v>24800</v>
      </c>
      <c r="H15" s="1342"/>
      <c r="I15" s="1342"/>
      <c r="J15" s="1342"/>
      <c r="K15" s="1342"/>
      <c r="L15" s="1339">
        <f t="shared" si="0"/>
        <v>24800</v>
      </c>
      <c r="M15" s="1342" t="s">
        <v>2112</v>
      </c>
    </row>
    <row r="16" spans="2:14" ht="20.100000000000001" customHeight="1" x14ac:dyDescent="0.2">
      <c r="B16" s="1336" t="s">
        <v>2192</v>
      </c>
      <c r="C16" s="1340">
        <v>10.555</v>
      </c>
      <c r="D16" s="1341">
        <v>2018</v>
      </c>
      <c r="E16" s="1342"/>
      <c r="F16" s="1342">
        <v>71393</v>
      </c>
      <c r="G16" s="1342"/>
      <c r="H16" s="1342"/>
      <c r="I16" s="1342">
        <v>71393</v>
      </c>
      <c r="J16" s="1342"/>
      <c r="K16" s="1342"/>
      <c r="L16" s="1339">
        <f t="shared" si="0"/>
        <v>71393</v>
      </c>
      <c r="M16" s="1342" t="s">
        <v>2112</v>
      </c>
    </row>
    <row r="17" spans="2:14" ht="20.100000000000001" customHeight="1" x14ac:dyDescent="0.2">
      <c r="B17" s="1336" t="s">
        <v>2193</v>
      </c>
      <c r="C17" s="1340">
        <v>10.555</v>
      </c>
      <c r="D17" s="1341" t="s">
        <v>2103</v>
      </c>
      <c r="E17" s="1342">
        <v>174297</v>
      </c>
      <c r="F17" s="1342"/>
      <c r="G17" s="1342">
        <v>174297</v>
      </c>
      <c r="H17" s="1342"/>
      <c r="I17" s="1342"/>
      <c r="J17" s="1342"/>
      <c r="K17" s="1342"/>
      <c r="L17" s="1339">
        <f t="shared" si="0"/>
        <v>174297</v>
      </c>
      <c r="M17" s="1342" t="s">
        <v>2112</v>
      </c>
    </row>
    <row r="18" spans="2:14" ht="20.100000000000001" customHeight="1" x14ac:dyDescent="0.2">
      <c r="B18" s="1336" t="s">
        <v>2193</v>
      </c>
      <c r="C18" s="1340">
        <v>10.555</v>
      </c>
      <c r="D18" s="1341" t="s">
        <v>2104</v>
      </c>
      <c r="E18" s="1342">
        <v>1068317</v>
      </c>
      <c r="F18" s="1342">
        <v>208333</v>
      </c>
      <c r="G18" s="1342">
        <v>1068317</v>
      </c>
      <c r="H18" s="1342"/>
      <c r="I18" s="1342">
        <v>208333</v>
      </c>
      <c r="J18" s="1342"/>
      <c r="K18" s="1342"/>
      <c r="L18" s="1339">
        <f t="shared" si="0"/>
        <v>1276650</v>
      </c>
      <c r="M18" s="1342" t="s">
        <v>2112</v>
      </c>
    </row>
    <row r="19" spans="2:14" ht="20.100000000000001" customHeight="1" x14ac:dyDescent="0.2">
      <c r="B19" s="1336" t="s">
        <v>2193</v>
      </c>
      <c r="C19" s="1340">
        <v>10.555</v>
      </c>
      <c r="D19" s="1341" t="s">
        <v>2109</v>
      </c>
      <c r="E19" s="1342"/>
      <c r="F19" s="1342">
        <v>1121470</v>
      </c>
      <c r="G19" s="1342"/>
      <c r="H19" s="1342"/>
      <c r="I19" s="1342">
        <v>1121470</v>
      </c>
      <c r="J19" s="1342"/>
      <c r="K19" s="1342"/>
      <c r="L19" s="1339">
        <f t="shared" si="0"/>
        <v>1121470</v>
      </c>
      <c r="M19" s="1342" t="s">
        <v>2112</v>
      </c>
    </row>
    <row r="20" spans="2:14" ht="20.100000000000001" customHeight="1" x14ac:dyDescent="0.2">
      <c r="B20" s="1336" t="s">
        <v>2194</v>
      </c>
      <c r="C20" s="1340">
        <v>10.553000000000001</v>
      </c>
      <c r="D20" s="1341" t="s">
        <v>2105</v>
      </c>
      <c r="E20" s="1342">
        <v>41386</v>
      </c>
      <c r="F20" s="1342"/>
      <c r="G20" s="1342">
        <v>41386</v>
      </c>
      <c r="H20" s="1342"/>
      <c r="I20" s="1342"/>
      <c r="J20" s="1342"/>
      <c r="K20" s="1342"/>
      <c r="L20" s="1339">
        <f t="shared" si="0"/>
        <v>41386</v>
      </c>
      <c r="M20" s="1342" t="s">
        <v>2112</v>
      </c>
    </row>
    <row r="21" spans="2:14" ht="20.100000000000001" customHeight="1" x14ac:dyDescent="0.2">
      <c r="B21" s="1336" t="s">
        <v>2194</v>
      </c>
      <c r="C21" s="1340">
        <v>10.553000000000001</v>
      </c>
      <c r="D21" s="1341" t="s">
        <v>2106</v>
      </c>
      <c r="E21" s="1342">
        <v>279613</v>
      </c>
      <c r="F21" s="1342">
        <v>58724</v>
      </c>
      <c r="G21" s="1342">
        <v>279613</v>
      </c>
      <c r="H21" s="1342"/>
      <c r="I21" s="1342">
        <v>58724</v>
      </c>
      <c r="J21" s="1342"/>
      <c r="K21" s="1342"/>
      <c r="L21" s="1339">
        <f t="shared" si="0"/>
        <v>338337</v>
      </c>
      <c r="M21" s="1342" t="s">
        <v>2112</v>
      </c>
    </row>
    <row r="22" spans="2:14" ht="20.100000000000001" customHeight="1" x14ac:dyDescent="0.2">
      <c r="B22" s="1336" t="s">
        <v>2194</v>
      </c>
      <c r="C22" s="1340">
        <v>10.553000000000001</v>
      </c>
      <c r="D22" s="1341" t="s">
        <v>2110</v>
      </c>
      <c r="E22" s="1342"/>
      <c r="F22" s="1342">
        <v>313867</v>
      </c>
      <c r="G22" s="1342"/>
      <c r="H22" s="1342"/>
      <c r="I22" s="1342">
        <v>313867</v>
      </c>
      <c r="J22" s="1342"/>
      <c r="K22" s="1342"/>
      <c r="L22" s="1339">
        <f t="shared" si="0"/>
        <v>313867</v>
      </c>
      <c r="M22" s="1342" t="s">
        <v>2112</v>
      </c>
    </row>
    <row r="23" spans="2:14" ht="20.100000000000001" customHeight="1" x14ac:dyDescent="0.2">
      <c r="B23" s="1336" t="s">
        <v>2195</v>
      </c>
      <c r="C23" s="1340">
        <v>10.555</v>
      </c>
      <c r="D23" s="1341" t="s">
        <v>2107</v>
      </c>
      <c r="E23" s="1342">
        <v>52265</v>
      </c>
      <c r="F23" s="1342"/>
      <c r="G23" s="1342">
        <v>52265</v>
      </c>
      <c r="H23" s="1342"/>
      <c r="I23" s="1342"/>
      <c r="J23" s="1342"/>
      <c r="K23" s="1342"/>
      <c r="L23" s="1339">
        <f t="shared" si="0"/>
        <v>52265</v>
      </c>
      <c r="M23" s="1342" t="s">
        <v>2112</v>
      </c>
    </row>
    <row r="24" spans="2:14" ht="20.100000000000001" customHeight="1" x14ac:dyDescent="0.2">
      <c r="B24" s="1336" t="s">
        <v>2195</v>
      </c>
      <c r="C24" s="1340">
        <v>10.555</v>
      </c>
      <c r="D24" s="1341" t="s">
        <v>2108</v>
      </c>
      <c r="E24" s="1342">
        <v>5</v>
      </c>
      <c r="F24" s="1342"/>
      <c r="G24" s="1342">
        <v>5</v>
      </c>
      <c r="H24" s="1342"/>
      <c r="I24" s="1342"/>
      <c r="J24" s="1342"/>
      <c r="K24" s="1342"/>
      <c r="L24" s="1339">
        <f t="shared" si="0"/>
        <v>5</v>
      </c>
      <c r="M24" s="1342" t="s">
        <v>2112</v>
      </c>
    </row>
    <row r="25" spans="2:14" ht="20.100000000000001" customHeight="1" x14ac:dyDescent="0.2">
      <c r="B25" s="1336" t="s">
        <v>2195</v>
      </c>
      <c r="C25" s="1340">
        <v>10.555</v>
      </c>
      <c r="D25" s="1341" t="s">
        <v>2111</v>
      </c>
      <c r="E25" s="1342"/>
      <c r="F25" s="1342">
        <v>23766</v>
      </c>
      <c r="G25" s="1342"/>
      <c r="H25" s="1342"/>
      <c r="I25" s="1342">
        <v>23766</v>
      </c>
      <c r="J25" s="1342"/>
      <c r="K25" s="1342"/>
      <c r="L25" s="1339">
        <f t="shared" si="0"/>
        <v>23766</v>
      </c>
      <c r="M25" s="1342" t="s">
        <v>2112</v>
      </c>
    </row>
    <row r="26" spans="2:14" ht="20.100000000000001" customHeight="1" x14ac:dyDescent="0.2">
      <c r="B26" s="1336" t="s">
        <v>2196</v>
      </c>
      <c r="C26" s="1340"/>
      <c r="D26" s="1341"/>
      <c r="E26" s="1342">
        <f t="shared" ref="E26:J26" si="1">SUM(E13:E25)</f>
        <v>1668501</v>
      </c>
      <c r="F26" s="1342">
        <f t="shared" si="1"/>
        <v>1821767</v>
      </c>
      <c r="G26" s="1342">
        <f t="shared" si="1"/>
        <v>1668501</v>
      </c>
      <c r="H26" s="1342">
        <f t="shared" si="1"/>
        <v>0</v>
      </c>
      <c r="I26" s="1342">
        <f t="shared" si="1"/>
        <v>1821767</v>
      </c>
      <c r="J26" s="1342">
        <f t="shared" si="1"/>
        <v>0</v>
      </c>
      <c r="K26" s="1342"/>
      <c r="L26" s="1339">
        <f t="shared" si="0"/>
        <v>3490268</v>
      </c>
      <c r="M26" s="1342"/>
    </row>
    <row r="27" spans="2:14" ht="20.100000000000001" customHeight="1" x14ac:dyDescent="0.2">
      <c r="B27" s="1336" t="s">
        <v>2197</v>
      </c>
      <c r="C27" s="1340"/>
      <c r="D27" s="1341"/>
      <c r="E27" s="1342">
        <v>1668501</v>
      </c>
      <c r="F27" s="1342">
        <v>1821767</v>
      </c>
      <c r="G27" s="1342">
        <v>1668501</v>
      </c>
      <c r="H27" s="1342"/>
      <c r="I27" s="1342">
        <v>1821767</v>
      </c>
      <c r="J27" s="1342"/>
      <c r="K27" s="1342"/>
      <c r="L27" s="1339">
        <f t="shared" si="0"/>
        <v>3490268</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1838</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1949</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F15" sqref="F1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FREEPORT SCHOOL DISTRICT NO. 145</v>
      </c>
      <c r="C1" s="2489"/>
      <c r="D1" s="2489"/>
      <c r="E1" s="2489"/>
      <c r="F1" s="2489"/>
      <c r="G1" s="2489"/>
      <c r="H1" s="2489"/>
      <c r="I1" s="2489"/>
      <c r="J1" s="2489"/>
      <c r="K1" s="2489"/>
      <c r="L1" s="2489"/>
      <c r="M1" s="2489"/>
    </row>
    <row r="2" spans="2:14" ht="15" x14ac:dyDescent="0.2">
      <c r="B2" s="2478" t="str">
        <f>'Single Audit Cover'!E7</f>
        <v>08-089-1450-22</v>
      </c>
      <c r="C2" s="2478"/>
      <c r="D2" s="2478"/>
      <c r="E2" s="2478"/>
      <c r="F2" s="2478"/>
      <c r="G2" s="2478"/>
      <c r="H2" s="2478"/>
      <c r="I2" s="2478"/>
      <c r="J2" s="2478"/>
      <c r="K2" s="2478"/>
      <c r="L2" s="2478"/>
      <c r="M2" s="2478"/>
      <c r="N2" s="1301"/>
    </row>
    <row r="3" spans="2:14" ht="15" x14ac:dyDescent="0.2">
      <c r="B3" s="2490" t="s">
        <v>1281</v>
      </c>
      <c r="C3" s="2490"/>
      <c r="D3" s="2490"/>
      <c r="E3" s="2490"/>
      <c r="F3" s="2490"/>
      <c r="G3" s="2490"/>
      <c r="H3" s="2490"/>
      <c r="I3" s="2490"/>
      <c r="J3" s="2490"/>
      <c r="K3" s="2490"/>
      <c r="L3" s="2490"/>
      <c r="M3" s="2490"/>
      <c r="N3" s="1301"/>
    </row>
    <row r="4" spans="2:14" ht="15" x14ac:dyDescent="0.2">
      <c r="B4" s="2491" t="str">
        <f>'Single Audit Cover'!A4</f>
        <v>Year Ending June 30, 2018</v>
      </c>
      <c r="C4" s="2491"/>
      <c r="D4" s="2491"/>
      <c r="E4" s="2491"/>
      <c r="F4" s="2491"/>
      <c r="G4" s="2491"/>
      <c r="H4" s="2491"/>
      <c r="I4" s="2491"/>
      <c r="J4" s="2491"/>
      <c r="K4" s="2491"/>
      <c r="L4" s="2491"/>
      <c r="M4" s="249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7" t="s">
        <v>2124</v>
      </c>
      <c r="C11" s="1337"/>
      <c r="D11" s="1338"/>
      <c r="E11" s="1339"/>
      <c r="F11" s="1339"/>
      <c r="G11" s="1339"/>
      <c r="H11" s="1339"/>
      <c r="I11" s="1339"/>
      <c r="J11" s="1339"/>
      <c r="K11" s="1339"/>
      <c r="L11" s="1339"/>
      <c r="M11" s="1339"/>
    </row>
    <row r="12" spans="2:14" ht="20.100000000000001" customHeight="1" x14ac:dyDescent="0.2">
      <c r="B12" s="1957" t="s">
        <v>2125</v>
      </c>
      <c r="C12" s="1959">
        <v>12.3</v>
      </c>
      <c r="D12" s="1958" t="s">
        <v>2155</v>
      </c>
      <c r="E12" s="1342"/>
      <c r="F12" s="1342">
        <v>74970</v>
      </c>
      <c r="G12" s="1342"/>
      <c r="H12" s="1342"/>
      <c r="I12" s="1342">
        <v>74970</v>
      </c>
      <c r="J12" s="1342"/>
      <c r="K12" s="1342"/>
      <c r="L12" s="1969"/>
      <c r="M12" s="1342"/>
    </row>
    <row r="13" spans="2:14" ht="20.100000000000001" customHeight="1" x14ac:dyDescent="0.2">
      <c r="B13" s="1957" t="s">
        <v>2125</v>
      </c>
      <c r="C13" s="1959">
        <v>12.3</v>
      </c>
      <c r="D13" s="1958" t="s">
        <v>2131</v>
      </c>
      <c r="E13" s="1342">
        <v>74171</v>
      </c>
      <c r="F13" s="1342"/>
      <c r="G13" s="1342">
        <v>74171</v>
      </c>
      <c r="H13" s="1342"/>
      <c r="I13" s="1342"/>
      <c r="J13" s="1342"/>
      <c r="K13" s="1342"/>
      <c r="L13" s="1969">
        <v>74171</v>
      </c>
      <c r="M13" s="1342" t="s">
        <v>2112</v>
      </c>
    </row>
    <row r="14" spans="2:14" ht="20.100000000000001" customHeight="1" x14ac:dyDescent="0.2">
      <c r="B14" s="1957" t="s">
        <v>2126</v>
      </c>
      <c r="C14" s="1959"/>
      <c r="D14" s="1958"/>
      <c r="E14" s="1342">
        <v>74171</v>
      </c>
      <c r="F14" s="1342">
        <v>74970</v>
      </c>
      <c r="G14" s="1342">
        <v>74171</v>
      </c>
      <c r="H14" s="1342"/>
      <c r="I14" s="1342">
        <v>74970</v>
      </c>
      <c r="J14" s="1342"/>
      <c r="K14" s="1342"/>
      <c r="L14" s="1969"/>
      <c r="M14" s="1342"/>
    </row>
    <row r="15" spans="2:14" ht="20.100000000000001" customHeight="1" x14ac:dyDescent="0.2">
      <c r="B15" s="1957" t="s">
        <v>2127</v>
      </c>
      <c r="C15" s="1959"/>
      <c r="D15" s="1958"/>
      <c r="E15" s="1342"/>
      <c r="F15" s="1342"/>
      <c r="G15" s="1342"/>
      <c r="H15" s="1342"/>
      <c r="I15" s="1342"/>
      <c r="J15" s="1342"/>
      <c r="K15" s="1342"/>
      <c r="L15" s="1969"/>
      <c r="M15" s="1342"/>
    </row>
    <row r="16" spans="2:14" ht="20.100000000000001" customHeight="1" x14ac:dyDescent="0.2">
      <c r="B16" s="1957" t="s">
        <v>2102</v>
      </c>
      <c r="C16" s="1959"/>
      <c r="D16" s="1958"/>
      <c r="E16" s="1342"/>
      <c r="F16" s="1342"/>
      <c r="G16" s="1342"/>
      <c r="H16" s="1342"/>
      <c r="I16" s="1342"/>
      <c r="J16" s="1342"/>
      <c r="K16" s="1342"/>
      <c r="L16" s="1969"/>
      <c r="M16" s="1342"/>
    </row>
    <row r="17" spans="2:14" ht="20.100000000000001" customHeight="1" x14ac:dyDescent="0.2">
      <c r="B17" s="1957" t="s">
        <v>2156</v>
      </c>
      <c r="C17" s="1959" t="s">
        <v>2132</v>
      </c>
      <c r="D17" s="1958" t="s">
        <v>2133</v>
      </c>
      <c r="E17" s="1342">
        <v>319696</v>
      </c>
      <c r="F17" s="1342"/>
      <c r="G17" s="1342">
        <v>600214</v>
      </c>
      <c r="H17" s="1342"/>
      <c r="I17" s="1342"/>
      <c r="J17" s="1342"/>
      <c r="K17" s="1342"/>
      <c r="L17" s="1969">
        <v>1818092</v>
      </c>
      <c r="M17" s="1342">
        <v>2046432</v>
      </c>
    </row>
    <row r="18" spans="2:14" ht="20.100000000000001" customHeight="1" x14ac:dyDescent="0.2">
      <c r="B18" s="1957" t="s">
        <v>2157</v>
      </c>
      <c r="C18" s="1959" t="s">
        <v>2132</v>
      </c>
      <c r="D18" s="1958" t="s">
        <v>2134</v>
      </c>
      <c r="E18" s="1342">
        <v>1539584</v>
      </c>
      <c r="F18" s="1342">
        <v>491711</v>
      </c>
      <c r="G18" s="1342">
        <v>1443511</v>
      </c>
      <c r="H18" s="1342"/>
      <c r="I18" s="1342">
        <v>491711</v>
      </c>
      <c r="J18" s="1342"/>
      <c r="K18" s="1342"/>
      <c r="L18" s="1969">
        <v>1443511</v>
      </c>
      <c r="M18" s="1342">
        <v>1988540</v>
      </c>
    </row>
    <row r="19" spans="2:14" ht="20.100000000000001" customHeight="1" x14ac:dyDescent="0.2">
      <c r="B19" s="1957" t="s">
        <v>2156</v>
      </c>
      <c r="C19" s="1959" t="s">
        <v>2132</v>
      </c>
      <c r="D19" s="1958" t="s">
        <v>2158</v>
      </c>
      <c r="E19" s="1342"/>
      <c r="F19" s="1342">
        <v>1506567</v>
      </c>
      <c r="G19" s="1342"/>
      <c r="H19" s="1342"/>
      <c r="I19" s="1342">
        <v>1428032</v>
      </c>
      <c r="J19" s="1342"/>
      <c r="K19" s="1342"/>
      <c r="L19" s="1969"/>
      <c r="M19" s="1342"/>
    </row>
    <row r="20" spans="2:14" ht="20.100000000000001" customHeight="1" x14ac:dyDescent="0.2">
      <c r="B20" s="1973" t="s">
        <v>2128</v>
      </c>
      <c r="C20" s="1972"/>
      <c r="D20" s="1971"/>
      <c r="E20" s="1342">
        <v>1859280</v>
      </c>
      <c r="F20" s="1342">
        <v>1998278</v>
      </c>
      <c r="G20" s="1342">
        <v>2043725</v>
      </c>
      <c r="H20" s="1342"/>
      <c r="I20" s="1342">
        <v>1919743</v>
      </c>
      <c r="J20" s="1342"/>
      <c r="K20" s="1342"/>
      <c r="L20" s="1969">
        <v>3261603</v>
      </c>
      <c r="M20" s="1342"/>
    </row>
    <row r="21" spans="2:14" ht="20.100000000000001" customHeight="1" x14ac:dyDescent="0.2">
      <c r="B21" s="1973" t="s">
        <v>2129</v>
      </c>
      <c r="C21" s="1972" t="s">
        <v>2135</v>
      </c>
      <c r="D21" s="1971" t="s">
        <v>2136</v>
      </c>
      <c r="E21" s="1342"/>
      <c r="F21" s="1342"/>
      <c r="G21" s="1342">
        <v>5489</v>
      </c>
      <c r="H21" s="1342"/>
      <c r="I21" s="1342"/>
      <c r="J21" s="1342"/>
      <c r="K21" s="1342"/>
      <c r="L21" s="1969"/>
      <c r="M21" s="1342"/>
    </row>
    <row r="22" spans="2:14" ht="20.100000000000001" customHeight="1" x14ac:dyDescent="0.2">
      <c r="B22" s="1973" t="s">
        <v>2130</v>
      </c>
      <c r="C22" s="1972" t="s">
        <v>2137</v>
      </c>
      <c r="D22" s="1971" t="s">
        <v>2138</v>
      </c>
      <c r="E22" s="1342">
        <v>16947</v>
      </c>
      <c r="F22" s="1342"/>
      <c r="G22" s="1342">
        <v>42657</v>
      </c>
      <c r="H22" s="1342"/>
      <c r="I22" s="1342"/>
      <c r="J22" s="1342"/>
      <c r="K22" s="1342"/>
      <c r="L22" s="1969"/>
      <c r="M22" s="1342"/>
    </row>
    <row r="23" spans="2:14" ht="20.100000000000001" customHeight="1" x14ac:dyDescent="0.2">
      <c r="B23" s="1973" t="s">
        <v>2130</v>
      </c>
      <c r="C23" s="1972" t="s">
        <v>2137</v>
      </c>
      <c r="D23" s="1971" t="s">
        <v>2139</v>
      </c>
      <c r="E23" s="1342">
        <v>202349</v>
      </c>
      <c r="F23" s="1342">
        <v>1601</v>
      </c>
      <c r="G23" s="1342">
        <v>174218</v>
      </c>
      <c r="H23" s="1342"/>
      <c r="I23" s="1342">
        <v>1601</v>
      </c>
      <c r="J23" s="1342"/>
      <c r="K23" s="1342"/>
      <c r="L23" s="1969"/>
      <c r="M23" s="1342"/>
    </row>
    <row r="24" spans="2:14" ht="20.100000000000001" customHeight="1" x14ac:dyDescent="0.2">
      <c r="B24" s="1973" t="s">
        <v>2130</v>
      </c>
      <c r="C24" s="1972" t="s">
        <v>2137</v>
      </c>
      <c r="D24" s="1971" t="s">
        <v>2160</v>
      </c>
      <c r="E24" s="1342"/>
      <c r="F24" s="1342">
        <v>191483</v>
      </c>
      <c r="G24" s="1342"/>
      <c r="H24" s="1342"/>
      <c r="I24" s="1342">
        <v>172915</v>
      </c>
      <c r="J24" s="1342"/>
      <c r="K24" s="1342"/>
      <c r="L24" s="1339"/>
      <c r="M24" s="1342"/>
    </row>
    <row r="25" spans="2:14" ht="20.100000000000001" customHeight="1" x14ac:dyDescent="0.2">
      <c r="B25" s="1336" t="s">
        <v>2159</v>
      </c>
      <c r="C25" s="1340"/>
      <c r="D25" s="1341"/>
      <c r="E25" s="1342">
        <v>219296</v>
      </c>
      <c r="F25" s="1342">
        <v>233084</v>
      </c>
      <c r="G25" s="1342">
        <v>216875</v>
      </c>
      <c r="H25" s="1342"/>
      <c r="I25" s="1342">
        <v>174516</v>
      </c>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1838</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1949</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F23" sqref="F2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FREEPORT SCHOOL DISTRICT NO. 145</v>
      </c>
      <c r="C1" s="2489"/>
      <c r="D1" s="2489"/>
      <c r="E1" s="2489"/>
      <c r="F1" s="2489"/>
      <c r="G1" s="2489"/>
      <c r="H1" s="2489"/>
      <c r="I1" s="2489"/>
      <c r="J1" s="2489"/>
      <c r="K1" s="2489"/>
      <c r="L1" s="2489"/>
      <c r="M1" s="2489"/>
    </row>
    <row r="2" spans="2:14" ht="15" x14ac:dyDescent="0.2">
      <c r="B2" s="2478" t="str">
        <f>'Single Audit Cover'!E7</f>
        <v>08-089-1450-22</v>
      </c>
      <c r="C2" s="2478"/>
      <c r="D2" s="2478"/>
      <c r="E2" s="2478"/>
      <c r="F2" s="2478"/>
      <c r="G2" s="2478"/>
      <c r="H2" s="2478"/>
      <c r="I2" s="2478"/>
      <c r="J2" s="2478"/>
      <c r="K2" s="2478"/>
      <c r="L2" s="2478"/>
      <c r="M2" s="2478"/>
      <c r="N2" s="1301"/>
    </row>
    <row r="3" spans="2:14" ht="15" x14ac:dyDescent="0.2">
      <c r="B3" s="2490" t="s">
        <v>1281</v>
      </c>
      <c r="C3" s="2490"/>
      <c r="D3" s="2490"/>
      <c r="E3" s="2490"/>
      <c r="F3" s="2490"/>
      <c r="G3" s="2490"/>
      <c r="H3" s="2490"/>
      <c r="I3" s="2490"/>
      <c r="J3" s="2490"/>
      <c r="K3" s="2490"/>
      <c r="L3" s="2490"/>
      <c r="M3" s="2490"/>
      <c r="N3" s="1301"/>
    </row>
    <row r="4" spans="2:14" ht="15" x14ac:dyDescent="0.2">
      <c r="B4" s="2491" t="str">
        <f>'Single Audit Cover'!A4</f>
        <v>Year Ending June 30, 2018</v>
      </c>
      <c r="C4" s="2491"/>
      <c r="D4" s="2491"/>
      <c r="E4" s="2491"/>
      <c r="F4" s="2491"/>
      <c r="G4" s="2491"/>
      <c r="H4" s="2491"/>
      <c r="I4" s="2491"/>
      <c r="J4" s="2491"/>
      <c r="K4" s="2491"/>
      <c r="L4" s="2491"/>
      <c r="M4" s="249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2" t="s">
        <v>2140</v>
      </c>
      <c r="C11" s="1964" t="s">
        <v>2141</v>
      </c>
      <c r="D11" s="1963" t="s">
        <v>2142</v>
      </c>
      <c r="E11" s="1966">
        <v>9020</v>
      </c>
      <c r="F11" s="1339"/>
      <c r="G11" s="1968">
        <v>9020</v>
      </c>
      <c r="H11" s="1339"/>
      <c r="I11" s="1339"/>
      <c r="J11" s="1339"/>
      <c r="K11" s="1339"/>
      <c r="L11" s="1970">
        <v>20226</v>
      </c>
      <c r="M11" s="1339">
        <v>26423</v>
      </c>
    </row>
    <row r="12" spans="2:14" ht="20.100000000000001" customHeight="1" x14ac:dyDescent="0.2">
      <c r="B12" s="1962" t="s">
        <v>2140</v>
      </c>
      <c r="C12" s="1961" t="s">
        <v>2141</v>
      </c>
      <c r="D12" s="1960" t="s">
        <v>2143</v>
      </c>
      <c r="E12" s="1965">
        <v>18532</v>
      </c>
      <c r="F12" s="1342"/>
      <c r="G12" s="1967">
        <v>18532</v>
      </c>
      <c r="H12" s="1342"/>
      <c r="I12" s="1342"/>
      <c r="J12" s="1342"/>
      <c r="K12" s="1342"/>
      <c r="L12" s="1970">
        <v>18532</v>
      </c>
      <c r="M12" s="1342">
        <v>22800</v>
      </c>
    </row>
    <row r="13" spans="2:14" ht="20.100000000000001" customHeight="1" x14ac:dyDescent="0.2">
      <c r="B13" s="1962" t="s">
        <v>2140</v>
      </c>
      <c r="C13" s="1961" t="s">
        <v>2141</v>
      </c>
      <c r="D13" s="1960" t="s">
        <v>2186</v>
      </c>
      <c r="E13" s="1965"/>
      <c r="F13" s="1342">
        <v>6914</v>
      </c>
      <c r="G13" s="1967"/>
      <c r="H13" s="1342"/>
      <c r="I13" s="1342">
        <v>6914</v>
      </c>
      <c r="J13" s="1342"/>
      <c r="K13" s="1342"/>
      <c r="L13" s="1970"/>
      <c r="M13" s="1342"/>
    </row>
    <row r="14" spans="2:14" ht="20.100000000000001" customHeight="1" x14ac:dyDescent="0.2">
      <c r="B14" s="1962" t="s">
        <v>2184</v>
      </c>
      <c r="C14" s="1961" t="s">
        <v>2147</v>
      </c>
      <c r="D14" s="1960" t="s">
        <v>2185</v>
      </c>
      <c r="E14" s="1965"/>
      <c r="F14" s="1342">
        <v>13005</v>
      </c>
      <c r="G14" s="1967"/>
      <c r="H14" s="1342"/>
      <c r="I14" s="1342">
        <v>13005</v>
      </c>
      <c r="J14" s="1342"/>
      <c r="K14" s="1342"/>
      <c r="L14" s="1970"/>
      <c r="M14" s="1342"/>
    </row>
    <row r="15" spans="2:14" ht="20.100000000000001" customHeight="1" x14ac:dyDescent="0.2">
      <c r="B15" s="1962" t="s">
        <v>2182</v>
      </c>
      <c r="C15" s="1961" t="s">
        <v>2147</v>
      </c>
      <c r="D15" s="1960" t="s">
        <v>2183</v>
      </c>
      <c r="E15" s="1965"/>
      <c r="F15" s="1342">
        <v>84438</v>
      </c>
      <c r="G15" s="1967"/>
      <c r="H15" s="1342"/>
      <c r="I15" s="1342">
        <v>84438</v>
      </c>
      <c r="J15" s="1342"/>
      <c r="K15" s="1342"/>
      <c r="L15" s="1970"/>
      <c r="M15" s="1342"/>
    </row>
    <row r="16" spans="2:14" ht="20.100000000000001" customHeight="1" x14ac:dyDescent="0.2">
      <c r="B16" s="1962" t="s">
        <v>2180</v>
      </c>
      <c r="C16" s="1961" t="s">
        <v>2144</v>
      </c>
      <c r="D16" s="1960" t="s">
        <v>2145</v>
      </c>
      <c r="E16" s="1965"/>
      <c r="F16" s="1342"/>
      <c r="G16" s="1967">
        <v>950</v>
      </c>
      <c r="H16" s="1342"/>
      <c r="I16" s="1342"/>
      <c r="J16" s="1342"/>
      <c r="K16" s="1342"/>
      <c r="L16" s="1970">
        <v>36199</v>
      </c>
      <c r="M16" s="1342">
        <v>37581</v>
      </c>
    </row>
    <row r="17" spans="2:14" ht="20.100000000000001" customHeight="1" x14ac:dyDescent="0.2">
      <c r="B17" s="1962" t="s">
        <v>2180</v>
      </c>
      <c r="C17" s="1961" t="s">
        <v>2144</v>
      </c>
      <c r="D17" s="1960" t="s">
        <v>2146</v>
      </c>
      <c r="E17" s="1965">
        <v>42858</v>
      </c>
      <c r="F17" s="1342"/>
      <c r="G17" s="1967">
        <v>42672</v>
      </c>
      <c r="H17" s="1342"/>
      <c r="I17" s="1342"/>
      <c r="J17" s="1342"/>
      <c r="K17" s="1342"/>
      <c r="L17" s="1970">
        <v>42672</v>
      </c>
      <c r="M17" s="1342">
        <v>49839</v>
      </c>
    </row>
    <row r="18" spans="2:14" ht="20.100000000000001" customHeight="1" x14ac:dyDescent="0.2">
      <c r="B18" s="1962" t="s">
        <v>2180</v>
      </c>
      <c r="C18" s="1961" t="s">
        <v>2144</v>
      </c>
      <c r="D18" s="1960" t="s">
        <v>2164</v>
      </c>
      <c r="E18" s="1965"/>
      <c r="F18" s="1342">
        <v>32497</v>
      </c>
      <c r="G18" s="1967"/>
      <c r="H18" s="1342"/>
      <c r="I18" s="1342">
        <v>31219</v>
      </c>
      <c r="J18" s="1342"/>
      <c r="K18" s="1342"/>
      <c r="L18" s="1970"/>
      <c r="M18" s="1342"/>
    </row>
    <row r="19" spans="2:14" ht="20.100000000000001" customHeight="1" x14ac:dyDescent="0.2">
      <c r="B19" s="1962" t="s">
        <v>2179</v>
      </c>
      <c r="C19" s="1961" t="s">
        <v>2147</v>
      </c>
      <c r="D19" s="1960" t="s">
        <v>2148</v>
      </c>
      <c r="E19" s="1965"/>
      <c r="F19" s="1342"/>
      <c r="G19" s="1967">
        <v>406</v>
      </c>
      <c r="H19" s="1342"/>
      <c r="I19" s="1342"/>
      <c r="J19" s="1342"/>
      <c r="K19" s="1342"/>
      <c r="L19" s="1970">
        <v>997890</v>
      </c>
      <c r="M19" s="1342">
        <v>1170830</v>
      </c>
    </row>
    <row r="20" spans="2:14" ht="20.100000000000001" customHeight="1" x14ac:dyDescent="0.2">
      <c r="B20" s="1962" t="s">
        <v>2179</v>
      </c>
      <c r="C20" s="1961" t="s">
        <v>2147</v>
      </c>
      <c r="D20" s="1960" t="s">
        <v>2149</v>
      </c>
      <c r="E20" s="1965">
        <v>988332</v>
      </c>
      <c r="F20" s="1342"/>
      <c r="G20" s="1967">
        <v>983398</v>
      </c>
      <c r="H20" s="1342"/>
      <c r="I20" s="1342"/>
      <c r="J20" s="1342"/>
      <c r="K20" s="1342"/>
      <c r="L20" s="1970">
        <v>983398</v>
      </c>
      <c r="M20" s="1342">
        <v>1212373</v>
      </c>
    </row>
    <row r="21" spans="2:14" ht="20.100000000000001" customHeight="1" x14ac:dyDescent="0.2">
      <c r="B21" s="1962" t="s">
        <v>2179</v>
      </c>
      <c r="C21" s="1961" t="s">
        <v>2147</v>
      </c>
      <c r="D21" s="1960" t="s">
        <v>2165</v>
      </c>
      <c r="E21" s="1965"/>
      <c r="F21" s="1342">
        <v>1111620</v>
      </c>
      <c r="G21" s="1967"/>
      <c r="H21" s="1342"/>
      <c r="I21" s="1342">
        <v>1105055</v>
      </c>
      <c r="J21" s="1342"/>
      <c r="K21" s="1342"/>
      <c r="L21" s="1970"/>
      <c r="M21" s="1342"/>
    </row>
    <row r="22" spans="2:14" ht="20.100000000000001" customHeight="1" x14ac:dyDescent="0.2">
      <c r="B22" s="1962" t="s">
        <v>2178</v>
      </c>
      <c r="C22" s="1961"/>
      <c r="D22" s="1960"/>
      <c r="E22" s="1965">
        <v>1031190</v>
      </c>
      <c r="F22" s="1342">
        <v>1241560</v>
      </c>
      <c r="G22" s="1967">
        <v>1027426</v>
      </c>
      <c r="H22" s="1342"/>
      <c r="I22" s="1342">
        <v>1233717</v>
      </c>
      <c r="J22" s="1342"/>
      <c r="K22" s="1342"/>
      <c r="L22" s="1970"/>
      <c r="M22" s="1342"/>
    </row>
    <row r="23" spans="2:14" ht="20.100000000000001" customHeight="1" x14ac:dyDescent="0.2">
      <c r="B23" s="1962" t="s">
        <v>2177</v>
      </c>
      <c r="C23" s="1961"/>
      <c r="D23" s="1960"/>
      <c r="E23" s="1965"/>
      <c r="F23" s="1342"/>
      <c r="G23" s="1967"/>
      <c r="H23" s="1342"/>
      <c r="I23" s="1342"/>
      <c r="J23" s="1342"/>
      <c r="K23" s="1342"/>
      <c r="L23" s="1970"/>
      <c r="M23" s="1342"/>
    </row>
    <row r="24" spans="2:14" ht="20.100000000000001" customHeight="1" x14ac:dyDescent="0.2">
      <c r="B24" s="1962" t="s">
        <v>2176</v>
      </c>
      <c r="C24" s="1961" t="s">
        <v>2150</v>
      </c>
      <c r="D24" s="1960" t="s">
        <v>2163</v>
      </c>
      <c r="E24" s="1965"/>
      <c r="F24" s="1342">
        <v>2131</v>
      </c>
      <c r="G24" s="1967"/>
      <c r="H24" s="1342"/>
      <c r="I24" s="1342">
        <v>211</v>
      </c>
      <c r="J24" s="1342"/>
      <c r="K24" s="1342"/>
      <c r="L24" s="1970"/>
      <c r="M24" s="1342"/>
    </row>
    <row r="25" spans="2:14" ht="20.100000000000001" customHeight="1" x14ac:dyDescent="0.2">
      <c r="B25" s="1962" t="s">
        <v>2175</v>
      </c>
      <c r="C25" s="1961"/>
      <c r="D25" s="1960"/>
      <c r="E25" s="1965"/>
      <c r="F25" s="1342"/>
      <c r="G25" s="1967"/>
      <c r="H25" s="1342"/>
      <c r="I25" s="1342"/>
      <c r="J25" s="1342"/>
      <c r="K25" s="1342"/>
      <c r="L25" s="1970"/>
      <c r="M25" s="1342"/>
    </row>
    <row r="26" spans="2:14" ht="20.100000000000001" customHeight="1" x14ac:dyDescent="0.2">
      <c r="B26" s="1336" t="s">
        <v>2151</v>
      </c>
      <c r="C26" s="1340">
        <v>84.126000000000005</v>
      </c>
      <c r="D26" s="1341" t="s">
        <v>2162</v>
      </c>
      <c r="E26" s="1342"/>
      <c r="F26" s="1342">
        <v>26545</v>
      </c>
      <c r="G26" s="1342"/>
      <c r="H26" s="1342"/>
      <c r="I26" s="1342">
        <v>26545</v>
      </c>
      <c r="J26" s="1342"/>
      <c r="K26" s="1342"/>
      <c r="L26" s="1339">
        <v>26545</v>
      </c>
      <c r="M26" s="1342" t="s">
        <v>2112</v>
      </c>
    </row>
    <row r="27" spans="2:14" ht="20.100000000000001" customHeight="1" x14ac:dyDescent="0.2">
      <c r="B27" s="1336" t="s">
        <v>2174</v>
      </c>
      <c r="C27" s="1340">
        <v>84.126000000000005</v>
      </c>
      <c r="D27" s="1341" t="s">
        <v>2152</v>
      </c>
      <c r="E27" s="1342">
        <v>10317</v>
      </c>
      <c r="F27" s="1342"/>
      <c r="G27" s="1342">
        <v>10317</v>
      </c>
      <c r="H27" s="1342"/>
      <c r="I27" s="1342"/>
      <c r="J27" s="1342"/>
      <c r="K27" s="1342"/>
      <c r="L27" s="1339">
        <v>10317</v>
      </c>
      <c r="M27" s="1342" t="s">
        <v>2112</v>
      </c>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1838</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1949</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2"/>
  <sheetViews>
    <sheetView showGridLines="0"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FREEPORT SCHOOL DISTRICT NO. 145</v>
      </c>
      <c r="C1" s="2489"/>
      <c r="D1" s="2489"/>
      <c r="E1" s="2489"/>
      <c r="F1" s="2489"/>
      <c r="G1" s="2489"/>
      <c r="H1" s="2489"/>
      <c r="I1" s="2489"/>
      <c r="J1" s="2489"/>
      <c r="K1" s="2489"/>
      <c r="L1" s="2489"/>
      <c r="M1" s="2489"/>
    </row>
    <row r="2" spans="2:14" ht="15" x14ac:dyDescent="0.2">
      <c r="B2" s="2478" t="str">
        <f>'Single Audit Cover'!E7</f>
        <v>08-089-1450-22</v>
      </c>
      <c r="C2" s="2478"/>
      <c r="D2" s="2478"/>
      <c r="E2" s="2478"/>
      <c r="F2" s="2478"/>
      <c r="G2" s="2478"/>
      <c r="H2" s="2478"/>
      <c r="I2" s="2478"/>
      <c r="J2" s="2478"/>
      <c r="K2" s="2478"/>
      <c r="L2" s="2478"/>
      <c r="M2" s="2478"/>
      <c r="N2" s="1301"/>
    </row>
    <row r="3" spans="2:14" ht="15" x14ac:dyDescent="0.2">
      <c r="B3" s="2490" t="s">
        <v>1281</v>
      </c>
      <c r="C3" s="2490"/>
      <c r="D3" s="2490"/>
      <c r="E3" s="2490"/>
      <c r="F3" s="2490"/>
      <c r="G3" s="2490"/>
      <c r="H3" s="2490"/>
      <c r="I3" s="2490"/>
      <c r="J3" s="2490"/>
      <c r="K3" s="2490"/>
      <c r="L3" s="2490"/>
      <c r="M3" s="2490"/>
      <c r="N3" s="1301"/>
    </row>
    <row r="4" spans="2:14" ht="15" x14ac:dyDescent="0.2">
      <c r="B4" s="2491" t="str">
        <f>'Single Audit Cover'!A4</f>
        <v>Year Ending June 30, 2018</v>
      </c>
      <c r="C4" s="2491"/>
      <c r="D4" s="2491"/>
      <c r="E4" s="2491"/>
      <c r="F4" s="2491"/>
      <c r="G4" s="2491"/>
      <c r="H4" s="2491"/>
      <c r="I4" s="2491"/>
      <c r="J4" s="2491"/>
      <c r="K4" s="2491"/>
      <c r="L4" s="2491"/>
      <c r="M4" s="2491"/>
      <c r="N4" s="1301"/>
    </row>
    <row r="6" spans="2:14" x14ac:dyDescent="0.2">
      <c r="B6" s="1302"/>
      <c r="C6" s="1303"/>
      <c r="D6" s="1304" t="s">
        <v>1327</v>
      </c>
      <c r="E6" s="1305" t="s">
        <v>548</v>
      </c>
      <c r="F6" s="1306"/>
      <c r="G6" s="1307" t="s">
        <v>1835</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1836</v>
      </c>
      <c r="D9" s="1313" t="s">
        <v>1837</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73" t="s">
        <v>2181</v>
      </c>
      <c r="C11" s="1975"/>
      <c r="D11" s="1974"/>
      <c r="E11" s="1339">
        <v>10317</v>
      </c>
      <c r="F11" s="1339">
        <v>26545</v>
      </c>
      <c r="G11" s="1339">
        <v>10317</v>
      </c>
      <c r="H11" s="1339"/>
      <c r="I11" s="1339">
        <v>26545</v>
      </c>
      <c r="J11" s="1339"/>
      <c r="K11" s="1339"/>
      <c r="L11" s="1339"/>
      <c r="M11" s="1339"/>
    </row>
    <row r="12" spans="2:14" ht="20.100000000000001" customHeight="1" x14ac:dyDescent="0.2">
      <c r="B12" s="1973" t="s">
        <v>2173</v>
      </c>
      <c r="C12" s="1972"/>
      <c r="D12" s="1971"/>
      <c r="E12" s="1342">
        <v>3147635</v>
      </c>
      <c r="F12" s="1342">
        <v>3468512</v>
      </c>
      <c r="G12" s="1342">
        <v>3331384</v>
      </c>
      <c r="H12" s="1342"/>
      <c r="I12" s="1342">
        <v>3361646</v>
      </c>
      <c r="J12" s="1342"/>
      <c r="K12" s="1342"/>
      <c r="L12" s="1339"/>
      <c r="M12" s="1342"/>
    </row>
    <row r="13" spans="2:14" ht="20.100000000000001" customHeight="1" x14ac:dyDescent="0.2">
      <c r="B13" s="1973"/>
      <c r="C13" s="1972"/>
      <c r="D13" s="1971"/>
      <c r="E13" s="1342"/>
      <c r="F13" s="1342"/>
      <c r="G13" s="1342"/>
      <c r="H13" s="1342"/>
      <c r="I13" s="1342"/>
      <c r="J13" s="1342"/>
      <c r="K13" s="1342"/>
      <c r="L13" s="1339"/>
      <c r="M13" s="1342"/>
    </row>
    <row r="14" spans="2:14" ht="20.100000000000001" customHeight="1" x14ac:dyDescent="0.2">
      <c r="B14" s="1973" t="s">
        <v>2172</v>
      </c>
      <c r="C14" s="1972"/>
      <c r="D14" s="1971"/>
      <c r="E14" s="1342"/>
      <c r="F14" s="1342"/>
      <c r="G14" s="1342"/>
      <c r="H14" s="1342"/>
      <c r="I14" s="1342"/>
      <c r="J14" s="1342"/>
      <c r="K14" s="1342"/>
      <c r="L14" s="1339"/>
      <c r="M14" s="1342"/>
    </row>
    <row r="15" spans="2:14" ht="20.100000000000001" customHeight="1" x14ac:dyDescent="0.2">
      <c r="B15" s="1973" t="s">
        <v>2171</v>
      </c>
      <c r="C15" s="1972"/>
      <c r="D15" s="1971"/>
      <c r="E15" s="1342"/>
      <c r="F15" s="1342"/>
      <c r="G15" s="1342"/>
      <c r="H15" s="1342"/>
      <c r="I15" s="1342"/>
      <c r="J15" s="1342"/>
      <c r="K15" s="1342"/>
      <c r="L15" s="1339"/>
      <c r="M15" s="1342"/>
    </row>
    <row r="16" spans="2:14" ht="20.100000000000001" customHeight="1" x14ac:dyDescent="0.2">
      <c r="B16" s="1973" t="s">
        <v>2170</v>
      </c>
      <c r="C16" s="1972"/>
      <c r="D16" s="1971"/>
      <c r="E16" s="1342"/>
      <c r="F16" s="1342"/>
      <c r="G16" s="1342"/>
      <c r="H16" s="1342"/>
      <c r="I16" s="1342"/>
      <c r="J16" s="1342"/>
      <c r="K16" s="1342"/>
      <c r="L16" s="1339"/>
      <c r="M16" s="1342"/>
    </row>
    <row r="17" spans="2:14" ht="20.100000000000001" customHeight="1" x14ac:dyDescent="0.2">
      <c r="B17" s="1973" t="s">
        <v>2169</v>
      </c>
      <c r="C17" s="1972"/>
      <c r="D17" s="1971"/>
      <c r="E17" s="1342"/>
      <c r="F17" s="1342"/>
      <c r="G17" s="1342"/>
      <c r="H17" s="1342"/>
      <c r="I17" s="1342"/>
      <c r="J17" s="1342"/>
      <c r="K17" s="1342"/>
      <c r="L17" s="1339"/>
      <c r="M17" s="1342"/>
    </row>
    <row r="18" spans="2:14" ht="20.100000000000001" customHeight="1" x14ac:dyDescent="0.2">
      <c r="B18" s="1973" t="s">
        <v>2168</v>
      </c>
      <c r="C18" s="1972">
        <v>93.778000000000006</v>
      </c>
      <c r="D18" s="1971" t="s">
        <v>2161</v>
      </c>
      <c r="E18" s="1342"/>
      <c r="F18" s="1342">
        <v>100302</v>
      </c>
      <c r="G18" s="1342"/>
      <c r="H18" s="1342"/>
      <c r="I18" s="1342">
        <v>100302</v>
      </c>
      <c r="J18" s="1342"/>
      <c r="K18" s="1342"/>
      <c r="L18" s="1339"/>
      <c r="M18" s="1342"/>
    </row>
    <row r="19" spans="2:14" ht="20.100000000000001" customHeight="1" x14ac:dyDescent="0.2">
      <c r="B19" s="1336" t="s">
        <v>2167</v>
      </c>
      <c r="C19" s="1340">
        <v>93.778000000000006</v>
      </c>
      <c r="D19" s="1341" t="s">
        <v>2153</v>
      </c>
      <c r="E19" s="1342">
        <v>95707</v>
      </c>
      <c r="F19" s="1342"/>
      <c r="G19" s="1342">
        <v>95707</v>
      </c>
      <c r="H19" s="1342"/>
      <c r="I19" s="1342"/>
      <c r="J19" s="1342"/>
      <c r="K19" s="1342"/>
      <c r="L19" s="1339">
        <v>95707</v>
      </c>
      <c r="M19" s="1342"/>
    </row>
    <row r="20" spans="2:14" ht="20.100000000000001" customHeight="1" x14ac:dyDescent="0.2">
      <c r="B20" s="1336" t="s">
        <v>2166</v>
      </c>
      <c r="C20" s="1340"/>
      <c r="D20" s="1341"/>
      <c r="E20" s="1342">
        <v>95707</v>
      </c>
      <c r="F20" s="1342">
        <v>100302</v>
      </c>
      <c r="G20" s="1342">
        <v>95707</v>
      </c>
      <c r="H20" s="1342"/>
      <c r="I20" s="1342">
        <v>100302</v>
      </c>
      <c r="J20" s="1342"/>
      <c r="K20" s="1342"/>
      <c r="L20" s="1339"/>
      <c r="M20" s="1342"/>
    </row>
    <row r="21" spans="2:14" ht="20.100000000000001" customHeight="1" x14ac:dyDescent="0.2">
      <c r="B21" s="1336" t="s">
        <v>2154</v>
      </c>
      <c r="C21" s="1340"/>
      <c r="D21" s="1341"/>
      <c r="E21" s="1342">
        <v>4986014</v>
      </c>
      <c r="F21" s="1342">
        <v>5465551</v>
      </c>
      <c r="G21" s="1342">
        <v>5169763</v>
      </c>
      <c r="H21" s="1342"/>
      <c r="I21" s="1342">
        <v>5358685</v>
      </c>
      <c r="J21" s="1342"/>
      <c r="K21" s="1342"/>
      <c r="L21" s="1339"/>
      <c r="M21" s="1342"/>
    </row>
    <row r="22" spans="2:14" ht="20.100000000000001" customHeight="1" x14ac:dyDescent="0.2">
      <c r="B22" s="1336"/>
      <c r="C22" s="1340"/>
      <c r="D22" s="1341"/>
      <c r="E22" s="1342"/>
      <c r="F22" s="1342"/>
      <c r="G22" s="1342"/>
      <c r="H22" s="1342"/>
      <c r="I22" s="1342"/>
      <c r="J22" s="1342"/>
      <c r="K22" s="1342"/>
      <c r="L22" s="1339"/>
      <c r="M22" s="1342"/>
    </row>
    <row r="23" spans="2:14" ht="20.100000000000001" customHeight="1" x14ac:dyDescent="0.2">
      <c r="B23" s="1336"/>
      <c r="C23" s="1340"/>
      <c r="D23" s="1341"/>
      <c r="E23" s="1342"/>
      <c r="F23" s="1342"/>
      <c r="G23" s="1342"/>
      <c r="H23" s="1342"/>
      <c r="I23" s="1342"/>
      <c r="J23" s="1342"/>
      <c r="K23" s="1342"/>
      <c r="L23" s="1339"/>
      <c r="M23" s="1342"/>
    </row>
    <row r="24" spans="2:14" ht="20.100000000000001" customHeight="1" x14ac:dyDescent="0.2">
      <c r="B24" s="1336"/>
      <c r="C24" s="1340"/>
      <c r="D24" s="1341"/>
      <c r="E24" s="1342"/>
      <c r="F24" s="1342"/>
      <c r="G24" s="1342"/>
      <c r="H24" s="1342"/>
      <c r="I24" s="1342"/>
      <c r="J24" s="1342"/>
      <c r="K24" s="1342"/>
      <c r="L24" s="1339"/>
      <c r="M24" s="1342"/>
    </row>
    <row r="25" spans="2:14" ht="20.100000000000001" customHeight="1" x14ac:dyDescent="0.2">
      <c r="B25" s="133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7"/>
      <c r="C29" s="1348"/>
      <c r="D29" s="1349"/>
      <c r="E29" s="1257"/>
      <c r="F29" s="1257"/>
      <c r="G29" s="1250"/>
      <c r="H29" s="1250"/>
      <c r="I29" s="1250"/>
      <c r="J29" s="1250"/>
      <c r="K29" s="1250"/>
      <c r="L29" s="1250"/>
      <c r="M29" s="1257"/>
      <c r="N29" s="1343"/>
    </row>
    <row r="30" spans="2:14" ht="13.5" customHeight="1" x14ac:dyDescent="0.2">
      <c r="B30" s="1282" t="s">
        <v>1838</v>
      </c>
      <c r="C30" s="1348"/>
      <c r="D30" s="1349"/>
      <c r="E30" s="1257"/>
      <c r="F30" s="1257"/>
      <c r="G30" s="1250"/>
      <c r="H30" s="1250"/>
      <c r="I30" s="1250"/>
      <c r="J30" s="1250"/>
      <c r="K30" s="1250"/>
      <c r="L30" s="1250"/>
      <c r="M30" s="1257"/>
      <c r="N30" s="1343"/>
    </row>
    <row r="31" spans="2:14" ht="8.25" customHeight="1" x14ac:dyDescent="0.2">
      <c r="B31" s="1282"/>
      <c r="C31" s="1348"/>
      <c r="D31" s="1349"/>
      <c r="E31" s="1257"/>
      <c r="F31" s="1257"/>
      <c r="G31" s="1250"/>
      <c r="H31" s="1250"/>
      <c r="I31" s="1250"/>
      <c r="J31" s="1250"/>
      <c r="K31" s="1250"/>
      <c r="L31" s="1250"/>
      <c r="M31" s="1257"/>
      <c r="N31" s="1343"/>
    </row>
    <row r="32" spans="2:14" x14ac:dyDescent="0.2">
      <c r="B32" s="1350" t="s">
        <v>1949</v>
      </c>
      <c r="C32" s="1351"/>
      <c r="D32" s="1352"/>
      <c r="E32" s="1353"/>
      <c r="F32" s="1353"/>
      <c r="G32" s="1353"/>
      <c r="H32" s="1353"/>
      <c r="I32" s="317"/>
      <c r="J32" s="317"/>
    </row>
    <row r="33" spans="2:13" x14ac:dyDescent="0.2">
      <c r="B33" s="1277"/>
      <c r="C33" s="1354"/>
      <c r="D33" s="1355"/>
      <c r="E33" s="1278"/>
      <c r="F33" s="1278"/>
      <c r="G33" s="317"/>
      <c r="H33" s="317"/>
      <c r="I33" s="317"/>
      <c r="J33" s="317"/>
    </row>
    <row r="34" spans="2:13" ht="13.5" customHeight="1" x14ac:dyDescent="0.2">
      <c r="B34" s="1276"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1839</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1840</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1841</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1842</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3"/>
  <sheetViews>
    <sheetView showGridLines="0" topLeftCell="A25" zoomScale="110" zoomScaleNormal="110" workbookViewId="0">
      <selection activeCell="G40" sqref="G40:I4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6" t="str">
        <f>'Single Audit Cover'!A7</f>
        <v>FREEPORT SCHOOL DISTRICT NO. 145</v>
      </c>
      <c r="C1" s="2497"/>
      <c r="D1" s="2497"/>
      <c r="E1" s="2497"/>
      <c r="F1" s="2497"/>
      <c r="G1" s="2497"/>
      <c r="H1" s="2497"/>
      <c r="I1" s="2497"/>
      <c r="J1" s="1421"/>
    </row>
    <row r="2" spans="2:10" s="317" customFormat="1" ht="12.75" customHeight="1" x14ac:dyDescent="0.2">
      <c r="B2" s="2498" t="str">
        <f>'Single Audit Cover'!E7</f>
        <v>08-089-1450-22</v>
      </c>
      <c r="C2" s="2499"/>
      <c r="D2" s="2499"/>
      <c r="E2" s="2499"/>
      <c r="F2" s="2499"/>
      <c r="G2" s="2499"/>
      <c r="H2" s="2499"/>
      <c r="I2" s="2499"/>
      <c r="J2" s="1421"/>
    </row>
    <row r="3" spans="2:10" s="317" customFormat="1" ht="12.75" customHeight="1" x14ac:dyDescent="0.2">
      <c r="B3" s="2500" t="s">
        <v>1347</v>
      </c>
      <c r="C3" s="2501"/>
      <c r="D3" s="2501"/>
      <c r="E3" s="2501"/>
      <c r="F3" s="2501"/>
      <c r="G3" s="2501"/>
      <c r="H3" s="2501"/>
      <c r="I3" s="2501"/>
      <c r="J3" s="1422"/>
    </row>
    <row r="4" spans="2:10" s="317" customFormat="1" ht="12.75" customHeight="1" x14ac:dyDescent="0.2">
      <c r="B4" s="2500" t="str">
        <f>'Single Audit Cover'!A4</f>
        <v>Year Ending June 30, 2018</v>
      </c>
      <c r="C4" s="2501"/>
      <c r="D4" s="2501"/>
      <c r="E4" s="2501"/>
      <c r="F4" s="2501"/>
      <c r="G4" s="2501"/>
      <c r="H4" s="2501"/>
      <c r="I4" s="2501"/>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00" t="s">
        <v>1346</v>
      </c>
      <c r="C7" s="2501"/>
      <c r="D7" s="2501"/>
      <c r="E7" s="2501"/>
      <c r="F7" s="2501"/>
      <c r="G7" s="2501"/>
      <c r="H7" s="2501"/>
      <c r="I7" s="2501"/>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8"/>
    </row>
    <row r="11" spans="2:10" s="317" customFormat="1" ht="13.5" customHeight="1" x14ac:dyDescent="0.2">
      <c r="B11" s="1348" t="s">
        <v>1344</v>
      </c>
      <c r="C11" s="2502" t="s">
        <v>2189</v>
      </c>
      <c r="D11" s="2502"/>
      <c r="E11" s="1431"/>
      <c r="F11" s="1431"/>
      <c r="G11" s="1431"/>
    </row>
    <row r="12" spans="2:10" s="317" customFormat="1" ht="11.45" customHeight="1" x14ac:dyDescent="0.2">
      <c r="B12" s="1356"/>
      <c r="C12" s="1432" t="s">
        <v>1517</v>
      </c>
      <c r="D12" s="1433"/>
      <c r="E12" s="1258"/>
    </row>
    <row r="13" spans="2:10" s="317" customFormat="1" ht="12.75" customHeight="1" x14ac:dyDescent="0.2">
      <c r="B13" s="1434"/>
      <c r="C13" s="1386"/>
      <c r="D13" s="1386"/>
      <c r="E13" s="1258"/>
    </row>
    <row r="14" spans="2:10" s="317" customFormat="1" ht="12.75" customHeight="1" x14ac:dyDescent="0.2">
      <c r="B14" s="1367" t="s">
        <v>1343</v>
      </c>
      <c r="C14" s="1282"/>
      <c r="E14" s="1258"/>
    </row>
    <row r="15" spans="2:10" s="317" customFormat="1" ht="13.5" customHeight="1" x14ac:dyDescent="0.2">
      <c r="B15" s="1435" t="s">
        <v>1340</v>
      </c>
      <c r="C15" s="1436"/>
      <c r="D15" s="1397"/>
      <c r="E15" s="1437"/>
      <c r="F15" s="1299" t="s">
        <v>940</v>
      </c>
      <c r="G15" s="1437" t="s">
        <v>2081</v>
      </c>
      <c r="H15" s="1299" t="s">
        <v>1338</v>
      </c>
      <c r="I15" s="1299"/>
    </row>
    <row r="16" spans="2:10" s="317" customFormat="1" ht="8.4499999999999993" customHeight="1" x14ac:dyDescent="0.2">
      <c r="B16" s="1367"/>
      <c r="C16" s="1282"/>
      <c r="E16" s="1382"/>
      <c r="F16" s="1299"/>
      <c r="G16" s="322"/>
      <c r="H16" s="1299"/>
      <c r="I16" s="1299"/>
    </row>
    <row r="17" spans="2:9" s="317" customFormat="1" ht="13.5" customHeight="1" x14ac:dyDescent="0.2">
      <c r="B17" s="1435" t="s">
        <v>1339</v>
      </c>
      <c r="C17" s="1436"/>
      <c r="D17" s="1397"/>
      <c r="E17" s="1438"/>
      <c r="F17" s="1257"/>
      <c r="G17" s="1438"/>
      <c r="H17" s="1299"/>
      <c r="I17" s="1299"/>
    </row>
    <row r="18" spans="2:9" s="317" customFormat="1" ht="12.75" customHeight="1" x14ac:dyDescent="0.2">
      <c r="B18" s="1435" t="s">
        <v>1518</v>
      </c>
      <c r="C18" s="1436"/>
      <c r="D18" s="1397"/>
      <c r="E18" s="1437" t="s">
        <v>2081</v>
      </c>
      <c r="F18" s="1299" t="s">
        <v>940</v>
      </c>
      <c r="G18" s="1437"/>
      <c r="H18" s="1299" t="s">
        <v>1338</v>
      </c>
      <c r="I18" s="1299"/>
    </row>
    <row r="19" spans="2:9" s="317" customFormat="1" ht="8.4499999999999993" customHeight="1" x14ac:dyDescent="0.2">
      <c r="B19" s="1367"/>
      <c r="C19" s="1282"/>
      <c r="E19" s="1382"/>
      <c r="F19" s="1299"/>
      <c r="G19" s="322"/>
      <c r="H19" s="1299"/>
      <c r="I19" s="1299"/>
    </row>
    <row r="20" spans="2:9" s="317" customFormat="1" ht="13.5" customHeight="1" x14ac:dyDescent="0.2">
      <c r="B20" s="1435" t="s">
        <v>1673</v>
      </c>
      <c r="C20" s="1436"/>
      <c r="D20" s="1397"/>
      <c r="E20" s="1437"/>
      <c r="F20" s="1299" t="s">
        <v>940</v>
      </c>
      <c r="G20" s="1437" t="s">
        <v>2081</v>
      </c>
      <c r="H20" s="1299" t="s">
        <v>101</v>
      </c>
      <c r="I20" s="1299"/>
    </row>
    <row r="21" spans="2:9" s="317" customFormat="1" ht="12.75" customHeight="1" x14ac:dyDescent="0.2">
      <c r="B21" s="1367"/>
      <c r="C21" s="1282"/>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2"/>
      <c r="E23" s="1382"/>
      <c r="F23" s="1299"/>
      <c r="G23" s="322"/>
      <c r="H23" s="1299"/>
      <c r="I23" s="1299"/>
    </row>
    <row r="24" spans="2:9" s="317" customFormat="1" ht="13.5" customHeight="1" x14ac:dyDescent="0.2">
      <c r="B24" s="1435" t="s">
        <v>1340</v>
      </c>
      <c r="C24" s="1436"/>
      <c r="D24" s="1397"/>
      <c r="E24" s="1437"/>
      <c r="F24" s="1299" t="s">
        <v>940</v>
      </c>
      <c r="G24" s="1437" t="s">
        <v>2081</v>
      </c>
      <c r="H24" s="1299" t="s">
        <v>1338</v>
      </c>
      <c r="I24" s="1299"/>
    </row>
    <row r="25" spans="2:9" s="317" customFormat="1" ht="8.4499999999999993" customHeight="1" x14ac:dyDescent="0.2">
      <c r="B25" s="1367"/>
      <c r="C25" s="1282"/>
      <c r="E25" s="1382"/>
      <c r="F25" s="1299"/>
      <c r="G25" s="322"/>
      <c r="H25" s="1299"/>
      <c r="I25" s="1299"/>
    </row>
    <row r="26" spans="2:9" s="317" customFormat="1" ht="13.5" customHeight="1" x14ac:dyDescent="0.2">
      <c r="B26" s="1435" t="s">
        <v>1339</v>
      </c>
      <c r="C26" s="1436"/>
      <c r="D26" s="1397"/>
      <c r="E26" s="1438"/>
      <c r="F26" s="1257"/>
      <c r="G26" s="1438"/>
      <c r="H26" s="1299"/>
      <c r="I26" s="1299"/>
    </row>
    <row r="27" spans="2:9" s="317" customFormat="1" ht="12.75" customHeight="1" x14ac:dyDescent="0.2">
      <c r="B27" s="1435" t="s">
        <v>1518</v>
      </c>
      <c r="C27" s="1436"/>
      <c r="D27" s="1397"/>
      <c r="E27" s="1437"/>
      <c r="F27" s="1299" t="s">
        <v>940</v>
      </c>
      <c r="G27" s="1437" t="s">
        <v>2081</v>
      </c>
      <c r="H27" s="1299" t="s">
        <v>1338</v>
      </c>
      <c r="I27" s="1299"/>
    </row>
    <row r="28" spans="2:9" s="317" customFormat="1" ht="12.75" customHeight="1" x14ac:dyDescent="0.2">
      <c r="B28" s="1367"/>
      <c r="C28" s="1282"/>
      <c r="E28" s="1258"/>
    </row>
    <row r="29" spans="2:9" s="317" customFormat="1" ht="12.75" customHeight="1" x14ac:dyDescent="0.2">
      <c r="B29" s="1367" t="s">
        <v>1337</v>
      </c>
      <c r="C29" s="1282"/>
      <c r="D29" s="2503"/>
      <c r="E29" s="2503"/>
      <c r="F29" s="2503"/>
      <c r="G29" s="2503"/>
      <c r="H29" s="2503"/>
      <c r="I29" s="2503"/>
    </row>
    <row r="30" spans="2:9" s="317" customFormat="1" x14ac:dyDescent="0.2">
      <c r="B30" s="1367"/>
      <c r="C30" s="322"/>
      <c r="D30" s="1432" t="s">
        <v>1849</v>
      </c>
      <c r="E30" s="1433"/>
      <c r="F30" s="1433"/>
      <c r="G30" s="1433"/>
      <c r="H30" s="1433"/>
      <c r="I30" s="1433"/>
    </row>
    <row r="31" spans="2:9" s="317" customFormat="1" ht="9.9499999999999993" customHeight="1" x14ac:dyDescent="0.2">
      <c r="B31" s="1367"/>
      <c r="E31" s="1258"/>
    </row>
    <row r="32" spans="2:9" s="317" customFormat="1" x14ac:dyDescent="0.2">
      <c r="B32" s="1367" t="s">
        <v>1336</v>
      </c>
      <c r="C32" s="1282"/>
      <c r="E32" s="1258"/>
    </row>
    <row r="33" spans="2:9" ht="13.5" customHeight="1" x14ac:dyDescent="0.2">
      <c r="B33" s="1367" t="s">
        <v>1633</v>
      </c>
      <c r="C33" s="1282"/>
      <c r="E33" s="1437"/>
      <c r="F33" s="1299" t="s">
        <v>940</v>
      </c>
      <c r="G33" s="1437" t="s">
        <v>2081</v>
      </c>
      <c r="H33" s="1299" t="s">
        <v>101</v>
      </c>
    </row>
    <row r="35" spans="2:9" x14ac:dyDescent="0.2">
      <c r="B35" s="1440" t="s">
        <v>1850</v>
      </c>
      <c r="C35" s="1441"/>
      <c r="D35" s="1267"/>
    </row>
    <row r="36" spans="2:9" ht="6" customHeight="1" x14ac:dyDescent="0.2">
      <c r="B36" s="1440"/>
      <c r="C36" s="1441"/>
      <c r="D36" s="1267"/>
    </row>
    <row r="37" spans="2:9" ht="17.25" customHeight="1" x14ac:dyDescent="0.2">
      <c r="B37" s="1442" t="s">
        <v>1851</v>
      </c>
      <c r="C37" s="2504" t="s">
        <v>1852</v>
      </c>
      <c r="D37" s="2505"/>
      <c r="E37" s="2505"/>
      <c r="F37" s="2506"/>
      <c r="G37" s="2504" t="s">
        <v>1674</v>
      </c>
      <c r="H37" s="2505"/>
      <c r="I37" s="2506"/>
    </row>
    <row r="38" spans="2:9" ht="16.5" customHeight="1" x14ac:dyDescent="0.2">
      <c r="B38" s="1443" t="s">
        <v>2198</v>
      </c>
      <c r="C38" s="2492" t="s">
        <v>2199</v>
      </c>
      <c r="D38" s="2493"/>
      <c r="E38" s="2493"/>
      <c r="F38" s="2494"/>
      <c r="G38" s="2507">
        <v>1821767</v>
      </c>
      <c r="H38" s="2508"/>
      <c r="I38" s="2509"/>
    </row>
    <row r="39" spans="2:9" ht="16.5" customHeight="1" x14ac:dyDescent="0.2">
      <c r="B39" s="1443"/>
      <c r="C39" s="2492"/>
      <c r="D39" s="2493"/>
      <c r="E39" s="2493"/>
      <c r="F39" s="2494"/>
      <c r="G39" s="2495"/>
      <c r="H39" s="2495"/>
      <c r="I39" s="2495"/>
    </row>
    <row r="40" spans="2:9" ht="16.5" customHeight="1" x14ac:dyDescent="0.2">
      <c r="B40" s="1443"/>
      <c r="C40" s="2492"/>
      <c r="D40" s="2493"/>
      <c r="E40" s="2493"/>
      <c r="F40" s="2494"/>
      <c r="G40" s="2495"/>
      <c r="H40" s="2495"/>
      <c r="I40" s="2495"/>
    </row>
    <row r="41" spans="2:9" ht="16.5" customHeight="1" x14ac:dyDescent="0.2">
      <c r="B41" s="1443"/>
      <c r="C41" s="2492"/>
      <c r="D41" s="2493"/>
      <c r="E41" s="2493"/>
      <c r="F41" s="2494"/>
      <c r="G41" s="2495"/>
      <c r="H41" s="2495"/>
      <c r="I41" s="2495"/>
    </row>
    <row r="42" spans="2:9" ht="16.5" customHeight="1" x14ac:dyDescent="0.2">
      <c r="B42" s="1443"/>
      <c r="C42" s="2492"/>
      <c r="D42" s="2493"/>
      <c r="E42" s="2493"/>
      <c r="F42" s="2494"/>
      <c r="G42" s="2495"/>
      <c r="H42" s="2495"/>
      <c r="I42" s="2495"/>
    </row>
    <row r="43" spans="2:9" ht="16.5" customHeight="1" x14ac:dyDescent="0.2">
      <c r="B43" s="1443"/>
      <c r="C43" s="2510" t="s">
        <v>1675</v>
      </c>
      <c r="D43" s="2511"/>
      <c r="E43" s="2511"/>
      <c r="F43" s="2512"/>
      <c r="G43" s="2513">
        <f>SUM(G38:I42)</f>
        <v>1821767</v>
      </c>
      <c r="H43" s="2513"/>
      <c r="I43" s="2513"/>
    </row>
    <row r="44" spans="2:9" ht="12.75" customHeight="1" x14ac:dyDescent="0.2"/>
    <row r="45" spans="2:9" ht="12.75" customHeight="1" x14ac:dyDescent="0.2">
      <c r="B45" s="1434" t="s">
        <v>1950</v>
      </c>
      <c r="D45" s="2514">
        <v>5358685</v>
      </c>
      <c r="E45" s="2515"/>
    </row>
    <row r="46" spans="2:9" ht="5.25" customHeight="1" x14ac:dyDescent="0.2">
      <c r="B46" s="1444"/>
      <c r="D46" s="1445"/>
      <c r="E46" s="1446"/>
    </row>
    <row r="47" spans="2:9" ht="12.75" customHeight="1" x14ac:dyDescent="0.2">
      <c r="B47" s="1299" t="s">
        <v>1676</v>
      </c>
      <c r="C47" s="1299"/>
      <c r="D47" s="1447">
        <f>+G43/D45</f>
        <v>0.33996530865314906</v>
      </c>
      <c r="E47" s="1448"/>
      <c r="F47" s="1449"/>
      <c r="I47" s="1450"/>
    </row>
    <row r="48" spans="2:9" ht="9.9499999999999993" customHeight="1" x14ac:dyDescent="0.2"/>
    <row r="49" spans="1:9" x14ac:dyDescent="0.2">
      <c r="B49" s="1367" t="s">
        <v>1335</v>
      </c>
      <c r="C49" s="1282"/>
      <c r="D49" s="1282"/>
      <c r="E49" s="2516">
        <v>750000</v>
      </c>
      <c r="F49" s="2516"/>
      <c r="G49" s="2516"/>
      <c r="H49" s="322"/>
    </row>
    <row r="51" spans="1:9" ht="13.5" customHeight="1" x14ac:dyDescent="0.2">
      <c r="B51" s="1367" t="s">
        <v>1334</v>
      </c>
      <c r="C51" s="1282"/>
      <c r="E51" s="1437" t="s">
        <v>2081</v>
      </c>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1853</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1854</v>
      </c>
      <c r="C58" s="1463"/>
      <c r="D58" s="1463"/>
    </row>
    <row r="59" spans="1:9" s="1460" customFormat="1" ht="3.95" customHeight="1" x14ac:dyDescent="0.2">
      <c r="A59" s="1457"/>
      <c r="B59" s="1462"/>
      <c r="C59" s="1463"/>
      <c r="D59" s="1463"/>
    </row>
    <row r="60" spans="1:9" s="1460" customFormat="1" ht="13.5" customHeight="1" x14ac:dyDescent="0.2">
      <c r="A60" s="1457"/>
      <c r="B60" s="1462" t="s">
        <v>1855</v>
      </c>
      <c r="C60" s="1463"/>
      <c r="D60" s="1463"/>
    </row>
    <row r="61" spans="1:9" s="1460" customFormat="1" ht="3.95" customHeight="1" x14ac:dyDescent="0.2">
      <c r="A61" s="1457"/>
      <c r="B61" s="1462"/>
      <c r="C61" s="1463"/>
      <c r="D61" s="1463"/>
    </row>
    <row r="62" spans="1:9" s="1460" customFormat="1" ht="12.75" customHeight="1" x14ac:dyDescent="0.2">
      <c r="A62" s="1457"/>
      <c r="B62" s="1462" t="s">
        <v>1856</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FREEPORT SCHOOL DISTRICT NO. 145</v>
      </c>
      <c r="C1" s="2496"/>
      <c r="D1" s="2496"/>
      <c r="E1" s="2496"/>
      <c r="F1" s="2496"/>
      <c r="G1" s="2496"/>
      <c r="H1" s="2496"/>
      <c r="I1" s="2496"/>
      <c r="J1" s="2496"/>
      <c r="K1" s="2496"/>
      <c r="L1" s="1373"/>
      <c r="M1" s="1373"/>
    </row>
    <row r="2" spans="1:13" ht="12" customHeight="1" x14ac:dyDescent="0.2">
      <c r="B2" s="2498" t="str">
        <f>'Single Audit Cover'!E7</f>
        <v>08-089-1450-22</v>
      </c>
      <c r="C2" s="2498"/>
      <c r="D2" s="2498"/>
      <c r="E2" s="2498"/>
      <c r="F2" s="2498"/>
      <c r="G2" s="2498"/>
      <c r="H2" s="2498"/>
      <c r="I2" s="2498"/>
      <c r="J2" s="2498"/>
      <c r="K2" s="2498"/>
      <c r="L2" s="1374"/>
      <c r="M2" s="1375"/>
    </row>
    <row r="3" spans="1:13" ht="10.35" customHeight="1" x14ac:dyDescent="0.2">
      <c r="B3" s="2519" t="s">
        <v>1347</v>
      </c>
      <c r="C3" s="2519"/>
      <c r="D3" s="2519"/>
      <c r="E3" s="2519"/>
      <c r="F3" s="2519"/>
      <c r="G3" s="2519"/>
      <c r="H3" s="2519"/>
      <c r="I3" s="2519"/>
      <c r="J3" s="2519"/>
      <c r="K3" s="2519"/>
      <c r="L3" s="1376"/>
      <c r="M3" s="1376"/>
    </row>
    <row r="4" spans="1:13" ht="14.25" customHeight="1" x14ac:dyDescent="0.2">
      <c r="B4" s="2520" t="str">
        <f>'Single Audit Cover'!A4</f>
        <v>Year Ending June 30, 2018</v>
      </c>
      <c r="C4" s="2520"/>
      <c r="D4" s="2520"/>
      <c r="E4" s="2520"/>
      <c r="F4" s="2520"/>
      <c r="G4" s="2520"/>
      <c r="H4" s="2520"/>
      <c r="I4" s="2520"/>
      <c r="J4" s="2520"/>
      <c r="K4" s="2520"/>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20" t="s">
        <v>1363</v>
      </c>
      <c r="C7" s="2520"/>
      <c r="D7" s="2521"/>
      <c r="E7" s="2521"/>
      <c r="F7" s="2521"/>
      <c r="G7" s="2521"/>
      <c r="H7" s="2521"/>
      <c r="I7" s="2521"/>
      <c r="J7" s="2521"/>
      <c r="K7" s="252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1</v>
      </c>
      <c r="E10" s="322"/>
      <c r="F10" s="1386" t="s">
        <v>1362</v>
      </c>
      <c r="G10" s="1387"/>
      <c r="H10" s="1388" t="s">
        <v>1361</v>
      </c>
      <c r="I10" s="1387" t="s">
        <v>2081</v>
      </c>
      <c r="J10" s="1389" t="s">
        <v>1360</v>
      </c>
      <c r="K10" s="322"/>
      <c r="L10" s="1380"/>
    </row>
    <row r="11" spans="1:13" ht="13.5" customHeight="1" x14ac:dyDescent="0.2">
      <c r="B11" s="322"/>
      <c r="C11" s="322"/>
      <c r="D11" s="322"/>
      <c r="E11" s="322"/>
      <c r="F11" s="322"/>
      <c r="G11" s="1382"/>
      <c r="H11" s="322"/>
      <c r="I11" s="1390" t="s">
        <v>1359</v>
      </c>
      <c r="J11" s="322"/>
      <c r="K11" s="1391">
        <v>2010</v>
      </c>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18" t="s">
        <v>2200</v>
      </c>
      <c r="C14" s="2518"/>
      <c r="D14" s="2518"/>
      <c r="E14" s="2518"/>
      <c r="F14" s="2518"/>
      <c r="G14" s="2518"/>
      <c r="H14" s="2518"/>
      <c r="I14" s="2518"/>
      <c r="J14" s="2518"/>
      <c r="K14" s="2518"/>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18" t="s">
        <v>2201</v>
      </c>
      <c r="C17" s="2518"/>
      <c r="D17" s="2518"/>
      <c r="E17" s="2518"/>
      <c r="F17" s="2518"/>
      <c r="G17" s="2518"/>
      <c r="H17" s="2518"/>
      <c r="I17" s="2518"/>
      <c r="J17" s="2518"/>
      <c r="K17" s="2518"/>
      <c r="L17" s="1380"/>
    </row>
    <row r="18" spans="2:12" ht="4.5" customHeight="1" x14ac:dyDescent="0.2">
      <c r="B18" s="1397"/>
      <c r="C18" s="1397"/>
      <c r="L18" s="1380"/>
    </row>
    <row r="19" spans="2:12" s="1282" customFormat="1" ht="13.5" customHeight="1" x14ac:dyDescent="0.2">
      <c r="B19" s="1392" t="s">
        <v>1844</v>
      </c>
      <c r="C19" s="1392"/>
      <c r="D19" s="1393"/>
      <c r="E19" s="1393"/>
      <c r="F19" s="1393"/>
      <c r="G19" s="1394"/>
      <c r="H19" s="1393"/>
      <c r="I19" s="1394"/>
      <c r="J19" s="1393"/>
      <c r="K19" s="1393"/>
      <c r="L19" s="1395"/>
    </row>
    <row r="20" spans="2:12" ht="45.75" customHeight="1" x14ac:dyDescent="0.2">
      <c r="B20" s="2522" t="s">
        <v>2202</v>
      </c>
      <c r="C20" s="2522"/>
      <c r="D20" s="2518"/>
      <c r="E20" s="2518"/>
      <c r="F20" s="2518"/>
      <c r="G20" s="2518"/>
      <c r="H20" s="2518"/>
      <c r="I20" s="2518"/>
      <c r="J20" s="2518"/>
      <c r="K20" s="251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8" t="s">
        <v>2203</v>
      </c>
      <c r="C23" s="2518"/>
      <c r="D23" s="2518"/>
      <c r="E23" s="2518"/>
      <c r="F23" s="2518"/>
      <c r="G23" s="2518"/>
      <c r="H23" s="2518"/>
      <c r="I23" s="2518"/>
      <c r="J23" s="2518"/>
      <c r="K23" s="251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8" t="s">
        <v>2204</v>
      </c>
      <c r="C26" s="2518"/>
      <c r="D26" s="2518"/>
      <c r="E26" s="2518"/>
      <c r="F26" s="2518"/>
      <c r="G26" s="2518"/>
      <c r="H26" s="2518"/>
      <c r="I26" s="2518"/>
      <c r="J26" s="2518"/>
      <c r="K26" s="251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7" t="s">
        <v>2205</v>
      </c>
      <c r="C29" s="2517"/>
      <c r="D29" s="2518"/>
      <c r="E29" s="2518"/>
      <c r="F29" s="2518"/>
      <c r="G29" s="2518"/>
      <c r="H29" s="2518"/>
      <c r="I29" s="2518"/>
      <c r="J29" s="2518"/>
      <c r="K29" s="251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517" t="s">
        <v>2206</v>
      </c>
      <c r="C32" s="2517"/>
      <c r="D32" s="2518"/>
      <c r="E32" s="2518"/>
      <c r="F32" s="2518"/>
      <c r="G32" s="2518"/>
      <c r="H32" s="2518"/>
      <c r="I32" s="2518"/>
      <c r="J32" s="2518"/>
      <c r="K32" s="251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4" zoomScale="110" zoomScaleNormal="110"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FREEPORT SCHOOL DISTRICT NO. 145</v>
      </c>
      <c r="C1" s="2496"/>
      <c r="D1" s="2496"/>
      <c r="E1" s="2496"/>
      <c r="F1" s="2496"/>
      <c r="G1" s="2496"/>
      <c r="H1" s="2496"/>
      <c r="I1" s="2496"/>
      <c r="J1" s="2496"/>
      <c r="K1" s="2496"/>
      <c r="L1" s="1373"/>
      <c r="M1" s="1373"/>
    </row>
    <row r="2" spans="1:13" ht="12" customHeight="1" x14ac:dyDescent="0.2">
      <c r="B2" s="2498" t="str">
        <f>'Single Audit Cover'!E7</f>
        <v>08-089-1450-22</v>
      </c>
      <c r="C2" s="2498"/>
      <c r="D2" s="2498"/>
      <c r="E2" s="2498"/>
      <c r="F2" s="2498"/>
      <c r="G2" s="2498"/>
      <c r="H2" s="2498"/>
      <c r="I2" s="2498"/>
      <c r="J2" s="2498"/>
      <c r="K2" s="2498"/>
      <c r="L2" s="1374"/>
      <c r="M2" s="1375"/>
    </row>
    <row r="3" spans="1:13" ht="10.35" customHeight="1" x14ac:dyDescent="0.2">
      <c r="B3" s="2519" t="s">
        <v>1347</v>
      </c>
      <c r="C3" s="2519"/>
      <c r="D3" s="2519"/>
      <c r="E3" s="2519"/>
      <c r="F3" s="2519"/>
      <c r="G3" s="2519"/>
      <c r="H3" s="2519"/>
      <c r="I3" s="2519"/>
      <c r="J3" s="2519"/>
      <c r="K3" s="2519"/>
      <c r="L3" s="1955"/>
      <c r="M3" s="1955"/>
    </row>
    <row r="4" spans="1:13" ht="14.25" customHeight="1" x14ac:dyDescent="0.2">
      <c r="B4" s="2520" t="str">
        <f>'Single Audit Cover'!A4</f>
        <v>Year Ending June 30, 2018</v>
      </c>
      <c r="C4" s="2520"/>
      <c r="D4" s="2520"/>
      <c r="E4" s="2520"/>
      <c r="F4" s="2520"/>
      <c r="G4" s="2520"/>
      <c r="H4" s="2520"/>
      <c r="I4" s="2520"/>
      <c r="J4" s="2520"/>
      <c r="K4" s="2520"/>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20" t="s">
        <v>1363</v>
      </c>
      <c r="C7" s="2520"/>
      <c r="D7" s="2521"/>
      <c r="E7" s="2521"/>
      <c r="F7" s="2521"/>
      <c r="G7" s="2521"/>
      <c r="H7" s="2521"/>
      <c r="I7" s="2521"/>
      <c r="J7" s="2521"/>
      <c r="K7" s="252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2</v>
      </c>
      <c r="E10" s="322"/>
      <c r="F10" s="1386" t="s">
        <v>1362</v>
      </c>
      <c r="G10" s="1387"/>
      <c r="H10" s="1388" t="s">
        <v>1361</v>
      </c>
      <c r="I10" s="1387" t="s">
        <v>2081</v>
      </c>
      <c r="J10" s="1389" t="s">
        <v>1360</v>
      </c>
      <c r="K10" s="322"/>
      <c r="L10" s="1380"/>
    </row>
    <row r="11" spans="1:13" ht="13.5" customHeight="1" x14ac:dyDescent="0.2">
      <c r="B11" s="322"/>
      <c r="C11" s="322"/>
      <c r="D11" s="322"/>
      <c r="E11" s="322"/>
      <c r="F11" s="322"/>
      <c r="G11" s="1382"/>
      <c r="H11" s="322"/>
      <c r="I11" s="1390" t="s">
        <v>1359</v>
      </c>
      <c r="J11" s="322"/>
      <c r="K11" s="1391">
        <v>2010</v>
      </c>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18" t="s">
        <v>2207</v>
      </c>
      <c r="C14" s="2518"/>
      <c r="D14" s="2518"/>
      <c r="E14" s="2518"/>
      <c r="F14" s="2518"/>
      <c r="G14" s="2518"/>
      <c r="H14" s="2518"/>
      <c r="I14" s="2518"/>
      <c r="J14" s="2518"/>
      <c r="K14" s="2518"/>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18" t="s">
        <v>2208</v>
      </c>
      <c r="C17" s="2518"/>
      <c r="D17" s="2518"/>
      <c r="E17" s="2518"/>
      <c r="F17" s="2518"/>
      <c r="G17" s="2518"/>
      <c r="H17" s="2518"/>
      <c r="I17" s="2518"/>
      <c r="J17" s="2518"/>
      <c r="K17" s="2518"/>
      <c r="L17" s="1380"/>
    </row>
    <row r="18" spans="2:12" ht="4.5" customHeight="1" x14ac:dyDescent="0.2">
      <c r="B18" s="1397"/>
      <c r="C18" s="1397"/>
      <c r="L18" s="1380"/>
    </row>
    <row r="19" spans="2:12" s="1282" customFormat="1" ht="13.5" customHeight="1" x14ac:dyDescent="0.2">
      <c r="B19" s="1392" t="s">
        <v>1844</v>
      </c>
      <c r="C19" s="1392"/>
      <c r="D19" s="1393"/>
      <c r="E19" s="1393"/>
      <c r="F19" s="1393"/>
      <c r="G19" s="1394"/>
      <c r="H19" s="1393"/>
      <c r="I19" s="1394"/>
      <c r="J19" s="1393"/>
      <c r="K19" s="1393"/>
      <c r="L19" s="1395"/>
    </row>
    <row r="20" spans="2:12" ht="45.75" customHeight="1" x14ac:dyDescent="0.2">
      <c r="B20" s="2522" t="s">
        <v>2208</v>
      </c>
      <c r="C20" s="2522"/>
      <c r="D20" s="2518"/>
      <c r="E20" s="2518"/>
      <c r="F20" s="2518"/>
      <c r="G20" s="2518"/>
      <c r="H20" s="2518"/>
      <c r="I20" s="2518"/>
      <c r="J20" s="2518"/>
      <c r="K20" s="251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8" t="s">
        <v>2209</v>
      </c>
      <c r="C23" s="2518"/>
      <c r="D23" s="2518"/>
      <c r="E23" s="2518"/>
      <c r="F23" s="2518"/>
      <c r="G23" s="2518"/>
      <c r="H23" s="2518"/>
      <c r="I23" s="2518"/>
      <c r="J23" s="2518"/>
      <c r="K23" s="251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8" t="s">
        <v>2210</v>
      </c>
      <c r="C26" s="2518"/>
      <c r="D26" s="2518"/>
      <c r="E26" s="2518"/>
      <c r="F26" s="2518"/>
      <c r="G26" s="2518"/>
      <c r="H26" s="2518"/>
      <c r="I26" s="2518"/>
      <c r="J26" s="2518"/>
      <c r="K26" s="251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7" t="s">
        <v>2211</v>
      </c>
      <c r="C29" s="2517"/>
      <c r="D29" s="2518"/>
      <c r="E29" s="2518"/>
      <c r="F29" s="2518"/>
      <c r="G29" s="2518"/>
      <c r="H29" s="2518"/>
      <c r="I29" s="2518"/>
      <c r="J29" s="2518"/>
      <c r="K29" s="251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517" t="s">
        <v>2212</v>
      </c>
      <c r="C32" s="2517"/>
      <c r="D32" s="2518"/>
      <c r="E32" s="2518"/>
      <c r="F32" s="2518"/>
      <c r="G32" s="2518"/>
      <c r="H32" s="2518"/>
      <c r="I32" s="2518"/>
      <c r="J32" s="2518"/>
      <c r="K32" s="251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topLeftCell="A7"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6" t="str">
        <f>'Single Audit Cover'!A7</f>
        <v>FREEPORT SCHOOL DISTRICT NO. 145</v>
      </c>
      <c r="C1" s="2496"/>
      <c r="D1" s="2496"/>
      <c r="E1" s="2496"/>
      <c r="F1" s="2496"/>
      <c r="G1" s="2496"/>
      <c r="H1" s="2496"/>
      <c r="I1" s="2496"/>
      <c r="J1" s="2496"/>
      <c r="K1" s="2496"/>
      <c r="L1" s="1373"/>
      <c r="M1" s="1373"/>
    </row>
    <row r="2" spans="1:13" ht="12" customHeight="1" x14ac:dyDescent="0.2">
      <c r="B2" s="2498" t="str">
        <f>'Single Audit Cover'!E7</f>
        <v>08-089-1450-22</v>
      </c>
      <c r="C2" s="2498"/>
      <c r="D2" s="2498"/>
      <c r="E2" s="2498"/>
      <c r="F2" s="2498"/>
      <c r="G2" s="2498"/>
      <c r="H2" s="2498"/>
      <c r="I2" s="2498"/>
      <c r="J2" s="2498"/>
      <c r="K2" s="2498"/>
      <c r="L2" s="1374"/>
      <c r="M2" s="1375"/>
    </row>
    <row r="3" spans="1:13" ht="10.35" customHeight="1" x14ac:dyDescent="0.2">
      <c r="B3" s="2519" t="s">
        <v>1347</v>
      </c>
      <c r="C3" s="2519"/>
      <c r="D3" s="2519"/>
      <c r="E3" s="2519"/>
      <c r="F3" s="2519"/>
      <c r="G3" s="2519"/>
      <c r="H3" s="2519"/>
      <c r="I3" s="2519"/>
      <c r="J3" s="2519"/>
      <c r="K3" s="2519"/>
      <c r="L3" s="1955"/>
      <c r="M3" s="1955"/>
    </row>
    <row r="4" spans="1:13" ht="14.25" customHeight="1" x14ac:dyDescent="0.2">
      <c r="B4" s="2520" t="str">
        <f>'Single Audit Cover'!A4</f>
        <v>Year Ending June 30, 2018</v>
      </c>
      <c r="C4" s="2520"/>
      <c r="D4" s="2520"/>
      <c r="E4" s="2520"/>
      <c r="F4" s="2520"/>
      <c r="G4" s="2520"/>
      <c r="H4" s="2520"/>
      <c r="I4" s="2520"/>
      <c r="J4" s="2520"/>
      <c r="K4" s="2520"/>
      <c r="L4" s="313"/>
      <c r="M4" s="313"/>
    </row>
    <row r="5" spans="1:13" ht="7.5" customHeight="1" x14ac:dyDescent="0.2">
      <c r="B5" s="1260" t="s">
        <v>1231</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520" t="s">
        <v>1363</v>
      </c>
      <c r="C7" s="2520"/>
      <c r="D7" s="2521"/>
      <c r="E7" s="2521"/>
      <c r="F7" s="2521"/>
      <c r="G7" s="2521"/>
      <c r="H7" s="2521"/>
      <c r="I7" s="2521"/>
      <c r="J7" s="2521"/>
      <c r="K7" s="252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1843</v>
      </c>
      <c r="C10" s="1384" t="s">
        <v>1951</v>
      </c>
      <c r="D10" s="1385">
        <v>3</v>
      </c>
      <c r="E10" s="322"/>
      <c r="F10" s="1386" t="s">
        <v>1362</v>
      </c>
      <c r="G10" s="1387" t="s">
        <v>2081</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1358</v>
      </c>
      <c r="C13" s="1392"/>
      <c r="D13" s="1393"/>
      <c r="E13" s="1393"/>
      <c r="F13" s="1393"/>
      <c r="G13" s="1394"/>
      <c r="H13" s="1393"/>
      <c r="I13" s="1394"/>
      <c r="J13" s="1393"/>
      <c r="K13" s="1393"/>
      <c r="L13" s="1395"/>
    </row>
    <row r="14" spans="1:13" ht="45.75" customHeight="1" x14ac:dyDescent="0.2">
      <c r="B14" s="2518" t="s">
        <v>2213</v>
      </c>
      <c r="C14" s="2518"/>
      <c r="D14" s="2518"/>
      <c r="E14" s="2518"/>
      <c r="F14" s="2518"/>
      <c r="G14" s="2518"/>
      <c r="H14" s="2518"/>
      <c r="I14" s="2518"/>
      <c r="J14" s="2518"/>
      <c r="K14" s="2518"/>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1357</v>
      </c>
      <c r="C16" s="1392"/>
      <c r="D16" s="1393"/>
      <c r="E16" s="1393"/>
      <c r="F16" s="1393"/>
      <c r="G16" s="1394"/>
      <c r="H16" s="1393"/>
      <c r="I16" s="1394"/>
      <c r="J16" s="1393"/>
      <c r="K16" s="1393"/>
      <c r="L16" s="1395"/>
    </row>
    <row r="17" spans="2:12" ht="45.75" customHeight="1" x14ac:dyDescent="0.2">
      <c r="B17" s="2518" t="s">
        <v>2214</v>
      </c>
      <c r="C17" s="2518"/>
      <c r="D17" s="2518"/>
      <c r="E17" s="2518"/>
      <c r="F17" s="2518"/>
      <c r="G17" s="2518"/>
      <c r="H17" s="2518"/>
      <c r="I17" s="2518"/>
      <c r="J17" s="2518"/>
      <c r="K17" s="2518"/>
      <c r="L17" s="1380"/>
    </row>
    <row r="18" spans="2:12" ht="4.5" customHeight="1" x14ac:dyDescent="0.2">
      <c r="B18" s="1397"/>
      <c r="C18" s="1397"/>
      <c r="L18" s="1380"/>
    </row>
    <row r="19" spans="2:12" s="1282" customFormat="1" ht="13.5" customHeight="1" x14ac:dyDescent="0.2">
      <c r="B19" s="1392" t="s">
        <v>1844</v>
      </c>
      <c r="C19" s="1392"/>
      <c r="D19" s="1393"/>
      <c r="E19" s="1393"/>
      <c r="F19" s="1393"/>
      <c r="G19" s="1394"/>
      <c r="H19" s="1393"/>
      <c r="I19" s="1394"/>
      <c r="J19" s="1393"/>
      <c r="K19" s="1393"/>
      <c r="L19" s="1395"/>
    </row>
    <row r="20" spans="2:12" ht="45.75" customHeight="1" x14ac:dyDescent="0.2">
      <c r="B20" s="2522" t="s">
        <v>2214</v>
      </c>
      <c r="C20" s="2522"/>
      <c r="D20" s="2518"/>
      <c r="E20" s="2518"/>
      <c r="F20" s="2518"/>
      <c r="G20" s="2518"/>
      <c r="H20" s="2518"/>
      <c r="I20" s="2518"/>
      <c r="J20" s="2518"/>
      <c r="K20" s="251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8" t="s">
        <v>2215</v>
      </c>
      <c r="C23" s="2518"/>
      <c r="D23" s="2518"/>
      <c r="E23" s="2518"/>
      <c r="F23" s="2518"/>
      <c r="G23" s="2518"/>
      <c r="H23" s="2518"/>
      <c r="I23" s="2518"/>
      <c r="J23" s="2518"/>
      <c r="K23" s="251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8" t="s">
        <v>2216</v>
      </c>
      <c r="C26" s="2518"/>
      <c r="D26" s="2518"/>
      <c r="E26" s="2518"/>
      <c r="F26" s="2518"/>
      <c r="G26" s="2518"/>
      <c r="H26" s="2518"/>
      <c r="I26" s="2518"/>
      <c r="J26" s="2518"/>
      <c r="K26" s="251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7" t="s">
        <v>2217</v>
      </c>
      <c r="C29" s="2517"/>
      <c r="D29" s="2518"/>
      <c r="E29" s="2518"/>
      <c r="F29" s="2518"/>
      <c r="G29" s="2518"/>
      <c r="H29" s="2518"/>
      <c r="I29" s="2518"/>
      <c r="J29" s="2518"/>
      <c r="K29" s="251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1845</v>
      </c>
      <c r="C31" s="1402"/>
      <c r="D31" s="1377"/>
      <c r="E31" s="1378"/>
      <c r="F31" s="1378"/>
      <c r="G31" s="1379"/>
      <c r="H31" s="1378"/>
      <c r="I31" s="1379"/>
      <c r="J31" s="1378"/>
      <c r="K31" s="1378"/>
      <c r="L31" s="1380"/>
    </row>
    <row r="32" spans="2:12" s="322" customFormat="1" ht="44.25" customHeight="1" x14ac:dyDescent="0.2">
      <c r="B32" s="2517" t="s">
        <v>2218</v>
      </c>
      <c r="C32" s="2517"/>
      <c r="D32" s="2518"/>
      <c r="E32" s="2518"/>
      <c r="F32" s="2518"/>
      <c r="G32" s="2518"/>
      <c r="H32" s="2518"/>
      <c r="I32" s="2518"/>
      <c r="J32" s="2518"/>
      <c r="K32" s="251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1846</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1847</v>
      </c>
      <c r="C38" s="1419"/>
    </row>
    <row r="39" spans="1:13" ht="9.6" customHeight="1" x14ac:dyDescent="0.2">
      <c r="B39" s="1299" t="s">
        <v>1348</v>
      </c>
      <c r="C39" s="1299"/>
      <c r="M39" s="1420"/>
    </row>
    <row r="40" spans="1:13" ht="12.6" customHeight="1" x14ac:dyDescent="0.2">
      <c r="B40" s="1419" t="s">
        <v>1848</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3" t="str">
        <f>'Single Audit Cover'!A7</f>
        <v>FREEPORT SCHOOL DISTRICT NO. 145</v>
      </c>
      <c r="C1" s="2523"/>
      <c r="D1" s="2523"/>
      <c r="E1" s="2523"/>
      <c r="F1" s="2523"/>
      <c r="G1" s="2523"/>
      <c r="H1" s="2523"/>
      <c r="I1" s="2523"/>
      <c r="J1" s="2523"/>
      <c r="K1" s="2523"/>
      <c r="L1" s="1464"/>
    </row>
    <row r="2" spans="1:12" ht="12.75" customHeight="1" x14ac:dyDescent="0.2">
      <c r="B2" s="2524" t="str">
        <f>'Single Audit Cover'!E7</f>
        <v>08-089-1450-22</v>
      </c>
      <c r="C2" s="2524"/>
      <c r="D2" s="2524"/>
      <c r="E2" s="2524"/>
      <c r="F2" s="2524"/>
      <c r="G2" s="2524"/>
      <c r="H2" s="2524"/>
      <c r="I2" s="2524"/>
      <c r="J2" s="2524"/>
      <c r="K2" s="2524"/>
      <c r="L2" s="1465"/>
    </row>
    <row r="3" spans="1:12" ht="12.75" customHeight="1" x14ac:dyDescent="0.2">
      <c r="B3" s="2519" t="s">
        <v>1347</v>
      </c>
      <c r="C3" s="2519"/>
      <c r="D3" s="2519"/>
      <c r="E3" s="2519"/>
      <c r="F3" s="2519"/>
      <c r="G3" s="2519"/>
      <c r="H3" s="2519"/>
      <c r="I3" s="2519"/>
      <c r="J3" s="2519"/>
      <c r="K3" s="2519"/>
      <c r="L3" s="1376"/>
    </row>
    <row r="4" spans="1:12" ht="12.75" customHeight="1" x14ac:dyDescent="0.2">
      <c r="B4" s="2519" t="str">
        <f>'Single Audit Cover'!A4</f>
        <v>Year Ending June 30, 2018</v>
      </c>
      <c r="C4" s="2519"/>
      <c r="D4" s="2519"/>
      <c r="E4" s="2519"/>
      <c r="F4" s="2519"/>
      <c r="G4" s="2519"/>
      <c r="H4" s="2519"/>
      <c r="I4" s="2519"/>
      <c r="J4" s="2519"/>
      <c r="K4" s="2519"/>
      <c r="L4" s="1376"/>
    </row>
    <row r="5" spans="1:12" ht="5.25" customHeight="1" x14ac:dyDescent="0.2">
      <c r="B5" s="1260" t="s">
        <v>1231</v>
      </c>
      <c r="C5" s="1260"/>
      <c r="L5" s="322"/>
    </row>
    <row r="6" spans="1:12" ht="30.75" customHeight="1" x14ac:dyDescent="0.2">
      <c r="A6" s="322"/>
      <c r="B6" s="2525" t="s">
        <v>1375</v>
      </c>
      <c r="C6" s="2525"/>
      <c r="D6" s="2525"/>
      <c r="E6" s="2525"/>
      <c r="F6" s="2525"/>
      <c r="G6" s="2525"/>
      <c r="H6" s="2525"/>
      <c r="I6" s="2525"/>
      <c r="J6" s="2525"/>
      <c r="K6" s="2525"/>
      <c r="L6" s="322"/>
    </row>
    <row r="7" spans="1:12" ht="4.5" customHeight="1" x14ac:dyDescent="0.2">
      <c r="B7" s="1378"/>
      <c r="C7" s="1378"/>
      <c r="D7" s="1378"/>
      <c r="E7" s="1378"/>
      <c r="F7" s="1378"/>
      <c r="G7" s="1379"/>
      <c r="H7" s="1378"/>
      <c r="I7" s="1379"/>
      <c r="J7" s="1378"/>
      <c r="K7" s="1378"/>
      <c r="L7" s="322"/>
    </row>
    <row r="8" spans="1:12" ht="13.5" customHeight="1" x14ac:dyDescent="0.2">
      <c r="B8" s="1386" t="s">
        <v>1857</v>
      </c>
      <c r="C8" s="1466" t="s">
        <v>1951</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03"/>
      <c r="G12" s="2503"/>
      <c r="H12" s="2503"/>
      <c r="I12" s="2503"/>
      <c r="J12" s="2503"/>
      <c r="K12" s="2503"/>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1371</v>
      </c>
      <c r="C14" s="1386"/>
      <c r="D14" s="2526"/>
      <c r="E14" s="2526"/>
      <c r="F14" s="2526"/>
      <c r="H14" s="1474" t="s">
        <v>1370</v>
      </c>
      <c r="I14" s="2527"/>
      <c r="J14" s="2527"/>
      <c r="K14" s="2527"/>
      <c r="L14" s="322"/>
    </row>
    <row r="15" spans="1:12" ht="9.4" customHeight="1" x14ac:dyDescent="0.2">
      <c r="B15" s="1386"/>
      <c r="C15" s="1386"/>
      <c r="D15" s="1372"/>
      <c r="E15" s="1260"/>
      <c r="F15" s="1260"/>
      <c r="G15" s="1286"/>
      <c r="H15" s="1260"/>
      <c r="I15" s="1475"/>
      <c r="J15" s="1293"/>
      <c r="K15" s="1290"/>
      <c r="L15" s="322"/>
    </row>
    <row r="16" spans="1:12" ht="13.5" customHeight="1" x14ac:dyDescent="0.2">
      <c r="B16" s="1386" t="s">
        <v>1369</v>
      </c>
      <c r="C16" s="1386"/>
      <c r="D16" s="2527"/>
      <c r="E16" s="2527"/>
      <c r="F16" s="2527"/>
      <c r="G16" s="2527"/>
      <c r="H16" s="2527"/>
      <c r="I16" s="2527"/>
      <c r="J16" s="2527"/>
      <c r="K16" s="2527"/>
      <c r="L16" s="322"/>
    </row>
    <row r="17" spans="2:12" ht="13.5" customHeight="1" x14ac:dyDescent="0.2">
      <c r="B17" s="1386" t="s">
        <v>1368</v>
      </c>
      <c r="C17" s="1386"/>
      <c r="D17" s="2528"/>
      <c r="E17" s="2528"/>
      <c r="F17" s="2528"/>
      <c r="G17" s="2528"/>
      <c r="H17" s="2528"/>
      <c r="I17" s="2528"/>
      <c r="J17" s="2528"/>
      <c r="K17" s="252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18"/>
      <c r="C20" s="2518"/>
      <c r="D20" s="2518"/>
      <c r="E20" s="2518"/>
      <c r="F20" s="2518"/>
      <c r="G20" s="2518"/>
      <c r="H20" s="2518"/>
      <c r="I20" s="2518"/>
      <c r="J20" s="2518"/>
      <c r="K20" s="251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1858</v>
      </c>
      <c r="C22" s="1476"/>
      <c r="D22" s="322"/>
      <c r="E22" s="322"/>
      <c r="F22" s="322"/>
      <c r="G22" s="1382"/>
      <c r="H22" s="322"/>
      <c r="I22" s="1382"/>
      <c r="J22" s="322"/>
      <c r="K22" s="322"/>
      <c r="L22" s="322"/>
    </row>
    <row r="23" spans="2:12" ht="37.5" customHeight="1" x14ac:dyDescent="0.2">
      <c r="B23" s="2518"/>
      <c r="C23" s="2518"/>
      <c r="D23" s="2518"/>
      <c r="E23" s="2518"/>
      <c r="F23" s="2518"/>
      <c r="G23" s="2518"/>
      <c r="H23" s="2518"/>
      <c r="I23" s="2518"/>
      <c r="J23" s="2518"/>
      <c r="K23" s="251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1859</v>
      </c>
      <c r="C25" s="1476"/>
      <c r="D25" s="322"/>
      <c r="E25" s="322"/>
      <c r="F25" s="322"/>
      <c r="G25" s="1382"/>
      <c r="H25" s="322"/>
      <c r="I25" s="1382"/>
      <c r="J25" s="322"/>
      <c r="K25" s="322"/>
      <c r="L25" s="322"/>
    </row>
    <row r="26" spans="2:12" ht="37.5" customHeight="1" x14ac:dyDescent="0.2">
      <c r="B26" s="2518"/>
      <c r="C26" s="2518"/>
      <c r="D26" s="2518"/>
      <c r="E26" s="2518"/>
      <c r="F26" s="2518"/>
      <c r="G26" s="2518"/>
      <c r="H26" s="2518"/>
      <c r="I26" s="2518"/>
      <c r="J26" s="2518"/>
      <c r="K26" s="251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1860</v>
      </c>
      <c r="C28" s="1476"/>
      <c r="D28" s="322"/>
      <c r="E28" s="322"/>
      <c r="F28" s="322"/>
      <c r="G28" s="1382"/>
      <c r="H28" s="322"/>
      <c r="I28" s="1382"/>
      <c r="J28" s="322"/>
      <c r="K28" s="322"/>
      <c r="L28" s="322"/>
    </row>
    <row r="29" spans="2:12" ht="37.5" customHeight="1" x14ac:dyDescent="0.2">
      <c r="B29" s="2518"/>
      <c r="C29" s="2518"/>
      <c r="D29" s="2518"/>
      <c r="E29" s="2518"/>
      <c r="F29" s="2518"/>
      <c r="G29" s="2518"/>
      <c r="H29" s="2518"/>
      <c r="I29" s="2518"/>
      <c r="J29" s="2518"/>
      <c r="K29" s="251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18"/>
      <c r="C32" s="2518"/>
      <c r="D32" s="2518"/>
      <c r="E32" s="2518"/>
      <c r="F32" s="2518"/>
      <c r="G32" s="2518"/>
      <c r="H32" s="2518"/>
      <c r="I32" s="2518"/>
      <c r="J32" s="2518"/>
      <c r="K32" s="251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18"/>
      <c r="C35" s="2518"/>
      <c r="D35" s="2518"/>
      <c r="E35" s="2518"/>
      <c r="F35" s="2518"/>
      <c r="G35" s="2518"/>
      <c r="H35" s="2518"/>
      <c r="I35" s="2518"/>
      <c r="J35" s="2518"/>
      <c r="K35" s="251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18"/>
      <c r="C38" s="2518"/>
      <c r="D38" s="2518"/>
      <c r="E38" s="2518"/>
      <c r="F38" s="2518"/>
      <c r="G38" s="2518"/>
      <c r="H38" s="2518"/>
      <c r="I38" s="2518"/>
      <c r="J38" s="2518"/>
      <c r="K38" s="251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1861</v>
      </c>
      <c r="C40" s="1402"/>
      <c r="D40" s="1377"/>
      <c r="E40" s="1378"/>
      <c r="F40" s="1378"/>
      <c r="G40" s="1379"/>
      <c r="H40" s="1378"/>
      <c r="I40" s="1379"/>
      <c r="J40" s="1378"/>
      <c r="K40" s="1378"/>
    </row>
    <row r="41" spans="2:12" s="322" customFormat="1" ht="33.75" customHeight="1" x14ac:dyDescent="0.2">
      <c r="B41" s="2518"/>
      <c r="C41" s="2518"/>
      <c r="D41" s="2518"/>
      <c r="E41" s="2518"/>
      <c r="F41" s="2518"/>
      <c r="G41" s="2518"/>
      <c r="H41" s="2518"/>
      <c r="I41" s="2518"/>
      <c r="J41" s="2518"/>
      <c r="K41" s="251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1862</v>
      </c>
      <c r="C48" s="1418"/>
      <c r="D48" s="322"/>
      <c r="E48" s="322"/>
      <c r="F48" s="322"/>
    </row>
    <row r="49" spans="2:3" s="317" customFormat="1" ht="10.5" customHeight="1" x14ac:dyDescent="0.2">
      <c r="B49" s="1419" t="s">
        <v>1863</v>
      </c>
      <c r="C49" s="1419"/>
    </row>
    <row r="50" spans="2:3" s="317" customFormat="1" ht="11.1" customHeight="1" x14ac:dyDescent="0.2">
      <c r="B50" s="1419" t="s">
        <v>1864</v>
      </c>
      <c r="C50" s="1419"/>
    </row>
    <row r="51" spans="2:3" s="317" customFormat="1" ht="11.1" customHeight="1" x14ac:dyDescent="0.2">
      <c r="B51" s="1419" t="s">
        <v>1865</v>
      </c>
      <c r="C51" s="1419"/>
    </row>
    <row r="52" spans="2:3" s="317" customFormat="1" ht="11.1" customHeight="1" x14ac:dyDescent="0.2">
      <c r="B52" s="1419" t="s">
        <v>1866</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topLeftCell="A4" zoomScale="110" zoomScaleNormal="110" workbookViewId="0">
      <selection activeCell="D17" sqref="D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6" t="str">
        <f>'Single Audit Cover'!A7</f>
        <v>FREEPORT SCHOOL DISTRICT NO. 145</v>
      </c>
      <c r="C1" s="2496"/>
      <c r="D1" s="2496"/>
      <c r="E1" s="1490"/>
    </row>
    <row r="2" spans="2:5" s="1282" customFormat="1" ht="12.75" customHeight="1" x14ac:dyDescent="0.2">
      <c r="B2" s="2498" t="str">
        <f>'Single Audit Cover'!E7</f>
        <v>08-089-1450-22</v>
      </c>
      <c r="C2" s="2498"/>
      <c r="D2" s="2498"/>
      <c r="E2" s="1491"/>
    </row>
    <row r="3" spans="2:5" ht="12.75" customHeight="1" x14ac:dyDescent="0.2">
      <c r="B3" s="2519" t="s">
        <v>1867</v>
      </c>
      <c r="C3" s="2519"/>
      <c r="D3" s="2519"/>
      <c r="E3" s="1274"/>
    </row>
    <row r="4" spans="2:5" s="1282" customFormat="1" ht="12.75" customHeight="1" x14ac:dyDescent="0.2">
      <c r="B4" s="2529" t="str">
        <f>'Single Audit Cover'!A4</f>
        <v>Year Ending June 30, 2018</v>
      </c>
      <c r="C4" s="2529"/>
      <c r="D4" s="2529"/>
      <c r="E4" s="1492"/>
    </row>
    <row r="5" spans="2:5" s="1282" customFormat="1" ht="40.15" customHeight="1" x14ac:dyDescent="0.2">
      <c r="B5" s="1493" t="s">
        <v>1868</v>
      </c>
      <c r="C5" s="328"/>
      <c r="D5" s="328"/>
      <c r="E5" s="328"/>
    </row>
    <row r="6" spans="2:5" s="1282" customFormat="1" ht="13.5" customHeight="1" x14ac:dyDescent="0.2">
      <c r="B6" s="1494" t="s">
        <v>1382</v>
      </c>
      <c r="C6" s="1494" t="s">
        <v>1381</v>
      </c>
      <c r="D6" s="1494" t="s">
        <v>1869</v>
      </c>
    </row>
    <row r="7" spans="2:5" ht="13.5" customHeight="1" x14ac:dyDescent="0.2">
      <c r="B7" s="1495"/>
      <c r="C7" s="324"/>
      <c r="D7" s="324"/>
      <c r="E7" s="324"/>
    </row>
    <row r="8" spans="2:5" ht="13.5" customHeight="1" x14ac:dyDescent="0.2">
      <c r="B8" s="1978" t="s">
        <v>2231</v>
      </c>
      <c r="C8" s="1977" t="s">
        <v>2220</v>
      </c>
      <c r="D8" s="1977" t="s">
        <v>2232</v>
      </c>
      <c r="E8" s="324"/>
    </row>
    <row r="9" spans="2:5" ht="13.5" customHeight="1" x14ac:dyDescent="0.2">
      <c r="B9" s="1979"/>
      <c r="C9" s="1976" t="s">
        <v>2222</v>
      </c>
      <c r="D9" s="1976"/>
      <c r="E9" s="323"/>
    </row>
    <row r="10" spans="2:5" ht="13.5" customHeight="1" x14ac:dyDescent="0.2">
      <c r="B10" s="1978"/>
      <c r="C10" s="1976"/>
      <c r="D10" s="1976"/>
      <c r="E10" s="323"/>
    </row>
    <row r="11" spans="2:5" ht="13.5" customHeight="1" x14ac:dyDescent="0.2">
      <c r="B11" s="1978" t="s">
        <v>2233</v>
      </c>
      <c r="C11" s="1976" t="s">
        <v>2224</v>
      </c>
      <c r="D11" s="1976" t="s">
        <v>2234</v>
      </c>
      <c r="E11" s="323"/>
    </row>
    <row r="12" spans="2:5" ht="13.5" customHeight="1" x14ac:dyDescent="0.2">
      <c r="B12" s="1978"/>
      <c r="C12" s="1976" t="s">
        <v>2226</v>
      </c>
      <c r="D12" s="1976"/>
      <c r="E12" s="323"/>
    </row>
    <row r="13" spans="2:5" ht="13.5" customHeight="1" x14ac:dyDescent="0.2">
      <c r="B13" s="1978"/>
      <c r="C13" s="1976" t="s">
        <v>2227</v>
      </c>
      <c r="D13" s="1976"/>
      <c r="E13" s="323"/>
    </row>
    <row r="14" spans="2:5" ht="13.5" customHeight="1" x14ac:dyDescent="0.2">
      <c r="B14" s="1978"/>
      <c r="C14" s="1976"/>
      <c r="D14" s="1976"/>
      <c r="E14" s="323"/>
    </row>
    <row r="15" spans="2:5" ht="13.5" customHeight="1" x14ac:dyDescent="0.2">
      <c r="B15" s="1978"/>
      <c r="C15" s="1976"/>
      <c r="D15" s="1976"/>
      <c r="E15" s="323"/>
    </row>
    <row r="16" spans="2:5" ht="13.5" customHeight="1" x14ac:dyDescent="0.2">
      <c r="B16" s="1978"/>
      <c r="C16" s="1976"/>
      <c r="D16" s="1976"/>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982" t="s">
        <v>2219</v>
      </c>
      <c r="C19" s="1981" t="s">
        <v>2220</v>
      </c>
      <c r="D19" s="1981" t="s">
        <v>2221</v>
      </c>
      <c r="E19" s="323"/>
    </row>
    <row r="20" spans="2:5" ht="13.5" customHeight="1" x14ac:dyDescent="0.2">
      <c r="B20" s="1983"/>
      <c r="C20" s="1980" t="s">
        <v>2222</v>
      </c>
      <c r="D20" s="1980"/>
      <c r="E20" s="323"/>
    </row>
    <row r="21" spans="2:5" ht="13.5" customHeight="1" x14ac:dyDescent="0.2">
      <c r="B21" s="1982"/>
      <c r="C21" s="1980"/>
      <c r="D21" s="1980"/>
      <c r="E21" s="323"/>
    </row>
    <row r="22" spans="2:5" ht="13.5" customHeight="1" x14ac:dyDescent="0.2">
      <c r="B22" s="1982" t="s">
        <v>2223</v>
      </c>
      <c r="C22" s="1980" t="s">
        <v>2224</v>
      </c>
      <c r="D22" s="1980" t="s">
        <v>2225</v>
      </c>
      <c r="E22" s="323"/>
    </row>
    <row r="23" spans="2:5" ht="13.5" customHeight="1" x14ac:dyDescent="0.2">
      <c r="B23" s="1982"/>
      <c r="C23" s="1980" t="s">
        <v>2226</v>
      </c>
      <c r="D23" s="1980"/>
      <c r="E23" s="323"/>
    </row>
    <row r="24" spans="2:5" ht="13.5" customHeight="1" x14ac:dyDescent="0.2">
      <c r="B24" s="1982"/>
      <c r="C24" s="1980" t="s">
        <v>2227</v>
      </c>
      <c r="D24" s="1980"/>
      <c r="E24" s="323"/>
    </row>
    <row r="25" spans="2:5" ht="13.5" customHeight="1" x14ac:dyDescent="0.2">
      <c r="B25" s="1982"/>
      <c r="C25" s="1980"/>
      <c r="D25" s="1980"/>
      <c r="E25" s="323"/>
    </row>
    <row r="26" spans="2:5" ht="13.5" customHeight="1" x14ac:dyDescent="0.2">
      <c r="B26" s="1982" t="s">
        <v>2228</v>
      </c>
      <c r="C26" s="1980" t="s">
        <v>2229</v>
      </c>
      <c r="D26" s="1980" t="s">
        <v>2236</v>
      </c>
      <c r="E26" s="323"/>
    </row>
    <row r="27" spans="2:5" ht="13.5" customHeight="1" x14ac:dyDescent="0.2">
      <c r="B27" s="1982"/>
      <c r="C27" s="1980" t="s">
        <v>2230</v>
      </c>
      <c r="D27" s="1980"/>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7" t="s">
        <v>1380</v>
      </c>
      <c r="C44" s="322"/>
    </row>
    <row r="45" spans="2:5" ht="12.2" customHeight="1" x14ac:dyDescent="0.2">
      <c r="B45" s="1503" t="s">
        <v>1870</v>
      </c>
    </row>
    <row r="46" spans="2:5" ht="12.2" customHeight="1" x14ac:dyDescent="0.2">
      <c r="B46" s="1503" t="s">
        <v>1871</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www.w3.org/XML/1998/namespace"/>
    <ds:schemaRef ds:uri="http://schemas.microsoft.com/office/2006/documentManagement/types"/>
    <ds:schemaRef ds:uri="http://schemas.microsoft.com/sharepoint/v3"/>
    <ds:schemaRef ds:uri="http://schemas.microsoft.com/office/infopath/2007/PartnerControls"/>
    <ds:schemaRef ds:uri="http://purl.org/dc/dcmitype/"/>
    <ds:schemaRef ds:uri="http://schemas.openxmlformats.org/package/2006/metadata/core-properties"/>
    <ds:schemaRef ds:uri="4d435f69-8686-490b-bd6d-b153bf22ab50"/>
    <ds:schemaRef ds:uri="http://purl.org/dc/terms/"/>
    <ds:schemaRef ds:uri="6ce3111e-7420-4802-b50a-75d4e9a0b980"/>
    <ds:schemaRef ds:uri="d21dc803-237d-4c68-8692-8d731fd29118"/>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Sec-2 (2)</vt:lpstr>
      <vt:lpstr>SF&amp;QC Sec-2 (3)</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2019-01-31T13:57:41Z</cp:lastPrinted>
  <dcterms:created xsi:type="dcterms:W3CDTF">2003-10-29T19:06:34Z</dcterms:created>
  <dcterms:modified xsi:type="dcterms:W3CDTF">2019-01-31T19:07:35Z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