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s="1"/>
  <c r="B5111" i="106"/>
  <c r="D5111" i="106"/>
  <c r="B5113" i="106"/>
  <c r="D5113" i="106" s="1"/>
  <c r="B5114" i="106"/>
  <c r="D5114" i="106"/>
  <c r="B5115" i="106"/>
  <c r="D5115" i="106" s="1"/>
  <c r="B5116" i="106"/>
  <c r="D5116" i="106"/>
  <c r="B5117" i="106"/>
  <c r="D5117" i="106" s="1"/>
  <c r="B5118" i="106"/>
  <c r="D5118" i="106" s="1"/>
  <c r="B5119" i="106"/>
  <c r="D5119" i="106" s="1"/>
  <c r="B5122" i="106"/>
  <c r="D5122" i="106"/>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s="1"/>
  <c r="B6317" i="106"/>
  <c r="D6317" i="106"/>
  <c r="B6319" i="106"/>
  <c r="D6319" i="106"/>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c r="B6353" i="106"/>
  <c r="D6353" i="106"/>
  <c r="B6354" i="106"/>
  <c r="D6354" i="106"/>
  <c r="B6355" i="106"/>
  <c r="D6355" i="106"/>
  <c r="B6356" i="106"/>
  <c r="D6356" i="106"/>
  <c r="B6358" i="106"/>
  <c r="D6358" i="106"/>
  <c r="B6359" i="106"/>
  <c r="D6359" i="106" s="1"/>
  <c r="B6360" i="106"/>
  <c r="D6360" i="106"/>
  <c r="B6361" i="106"/>
  <c r="D6361" i="106" s="1"/>
  <c r="B6362" i="106"/>
  <c r="D6362" i="106" s="1"/>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c r="B6751" i="106"/>
  <c r="D6751" i="106" s="1"/>
  <c r="B6752" i="106"/>
  <c r="D6752" i="106" s="1"/>
  <c r="B6753" i="106"/>
  <c r="D6753" i="106" s="1"/>
  <c r="B6754" i="106"/>
  <c r="D6754" i="106"/>
  <c r="B6755" i="106"/>
  <c r="D6755" i="106" s="1"/>
  <c r="B6756" i="106"/>
  <c r="D6756" i="106" s="1"/>
  <c r="B6757" i="106"/>
  <c r="D6757" i="106" s="1"/>
  <c r="B6758" i="106"/>
  <c r="D6758" i="106"/>
  <c r="B6759" i="106"/>
  <c r="D6759" i="106" s="1"/>
  <c r="B6760" i="106"/>
  <c r="D6760" i="106" s="1"/>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c r="B6783" i="106"/>
  <c r="D6783" i="106" s="1"/>
  <c r="B6784" i="106"/>
  <c r="D6784" i="106" s="1"/>
  <c r="B6785" i="106"/>
  <c r="D6785" i="106" s="1"/>
  <c r="B6786" i="106"/>
  <c r="D6786" i="106"/>
  <c r="B6787" i="106"/>
  <c r="D6787" i="106" s="1"/>
  <c r="B6788" i="106"/>
  <c r="D6788" i="106" s="1"/>
  <c r="B6789" i="106"/>
  <c r="D6789" i="106" s="1"/>
  <c r="B6790" i="106"/>
  <c r="D6790" i="106"/>
  <c r="B6791" i="106"/>
  <c r="D6791" i="106" s="1"/>
  <c r="B6792" i="106"/>
  <c r="D6792" i="106" s="1"/>
  <c r="B6793" i="106"/>
  <c r="D6793" i="106" s="1"/>
  <c r="B6794" i="106"/>
  <c r="D6794" i="106"/>
  <c r="B6795" i="106"/>
  <c r="D6795" i="106" s="1"/>
  <c r="B6796" i="106"/>
  <c r="D6796" i="106" s="1"/>
  <c r="B6797" i="106"/>
  <c r="D6797" i="106" s="1"/>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3" i="127"/>
  <c r="B64" i="127"/>
  <c r="D26" i="108"/>
  <c r="E26" i="108"/>
  <c r="F26" i="108"/>
  <c r="G26" i="108"/>
  <c r="D27" i="108"/>
  <c r="E27" i="108"/>
  <c r="F27" i="108"/>
  <c r="G27" i="108"/>
  <c r="E28"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D4" i="7"/>
  <c r="B1760" i="106" s="1"/>
  <c r="D1760" i="106" s="1"/>
  <c r="D5" i="7"/>
  <c r="B1761" i="106" s="1"/>
  <c r="D1761" i="106" s="1"/>
  <c r="D13" i="7"/>
  <c r="B3726" i="106" s="1"/>
  <c r="D3726" i="106" s="1"/>
  <c r="D9" i="7"/>
  <c r="B1767" i="106" s="1"/>
  <c r="D1767" i="106" s="1"/>
  <c r="F128" i="34"/>
  <c r="F111" i="34"/>
  <c r="B5752" i="106"/>
  <c r="D5752" i="106" s="1"/>
  <c r="B5599" i="106"/>
  <c r="D5599" i="106" s="1"/>
  <c r="C172" i="5"/>
  <c r="B5214" i="106" s="1"/>
  <c r="D5214" i="106" s="1"/>
  <c r="D7" i="7"/>
  <c r="B1763" i="106" s="1"/>
  <c r="D1763" i="106" s="1"/>
  <c r="D17" i="7"/>
  <c r="B4104" i="106" s="1"/>
  <c r="D4104" i="106" s="1"/>
  <c r="D15" i="7"/>
  <c r="B1772" i="106" s="1"/>
  <c r="D1772" i="106" s="1"/>
  <c r="D12" i="7" l="1"/>
  <c r="B1769" i="106" s="1"/>
  <c r="D1769" i="106" s="1"/>
  <c r="H173" i="5"/>
  <c r="B5847" i="106"/>
  <c r="D5847" i="106" s="1"/>
  <c r="F130" i="34"/>
  <c r="L5" i="11"/>
  <c r="B2056" i="106" s="1"/>
  <c r="D2056" i="106" s="1"/>
  <c r="K28" i="118"/>
  <c r="O27" i="118" s="1"/>
  <c r="O29" i="118" s="1"/>
  <c r="F172" i="5"/>
  <c r="B5644" i="106" s="1"/>
  <c r="D5644" i="106" s="1"/>
  <c r="F66" i="34"/>
  <c r="F46" i="34"/>
  <c r="B7235" i="106"/>
  <c r="D7235" i="106" s="1"/>
  <c r="B1126" i="106"/>
  <c r="D1126" i="106" s="1"/>
  <c r="E15" i="145"/>
  <c r="G15" i="145" s="1"/>
  <c r="K173" i="5"/>
  <c r="K6" i="4" s="1"/>
  <c r="B3570" i="106" s="1"/>
  <c r="D3570" i="106" s="1"/>
  <c r="B6191" i="106"/>
  <c r="D6191" i="106" s="1"/>
  <c r="J41" i="3"/>
  <c r="F106" i="34"/>
  <c r="K274" i="5"/>
  <c r="F131" i="34"/>
  <c r="G172" i="5"/>
  <c r="F49" i="34"/>
  <c r="B1746" i="106"/>
  <c r="D1746" i="106" s="1"/>
  <c r="D109" i="5"/>
  <c r="B5356" i="106" s="1"/>
  <c r="D5356" i="106" s="1"/>
  <c r="F127" i="34"/>
  <c r="I173" i="5"/>
  <c r="B4216" i="106" s="1"/>
  <c r="D4216" i="106" s="1"/>
  <c r="E109" i="5"/>
  <c r="E4" i="4" s="1"/>
  <c r="B2630" i="106" s="1"/>
  <c r="D2630" i="106" s="1"/>
  <c r="F50" i="34"/>
  <c r="F44" i="34"/>
  <c r="F41" i="34"/>
  <c r="F35" i="34"/>
  <c r="K24" i="12"/>
  <c r="K76" i="4"/>
  <c r="B3586" i="106" s="1"/>
  <c r="D3586" i="106" s="1"/>
  <c r="F21" i="8"/>
  <c r="F19" i="7"/>
  <c r="B1807" i="106" s="1"/>
  <c r="D1807" i="106" s="1"/>
  <c r="D54" i="36"/>
  <c r="C173" i="5"/>
  <c r="B5223" i="106" s="1"/>
  <c r="D5223" i="106" s="1"/>
  <c r="C109" i="5"/>
  <c r="B5121" i="106" s="1"/>
  <c r="D5121" i="106" s="1"/>
  <c r="K350" i="29"/>
  <c r="B3670" i="106" s="1"/>
  <c r="D3670" i="106" s="1"/>
  <c r="D11" i="7"/>
  <c r="B1768" i="106" s="1"/>
  <c r="D1768" i="106" s="1"/>
  <c r="H109" i="5"/>
  <c r="B6025" i="106" s="1"/>
  <c r="D6025" i="106" s="1"/>
  <c r="G109" i="5"/>
  <c r="B3649" i="106"/>
  <c r="D3649" i="106" s="1"/>
  <c r="G367" i="29"/>
  <c r="B3650" i="106" s="1"/>
  <c r="D3650" i="106" s="1"/>
  <c r="G210" i="29"/>
  <c r="B1365" i="106" s="1"/>
  <c r="D1365" i="106" s="1"/>
  <c r="B3647" i="106"/>
  <c r="D3647" i="106" s="1"/>
  <c r="C352" i="29"/>
  <c r="C342" i="29"/>
  <c r="B7216" i="106" s="1"/>
  <c r="D7216" i="106" s="1"/>
  <c r="H365" i="29"/>
  <c r="B1329" i="106"/>
  <c r="D1329" i="106" s="1"/>
  <c r="F61" i="34"/>
  <c r="L312" i="29"/>
  <c r="K285" i="29"/>
  <c r="B1410" i="106"/>
  <c r="D1410" i="106" s="1"/>
  <c r="G29" i="108"/>
  <c r="E29" i="108"/>
  <c r="K184" i="29"/>
  <c r="F13" i="4" s="1"/>
  <c r="B2596" i="106" s="1"/>
  <c r="D2596" i="106" s="1"/>
  <c r="B1223" i="106"/>
  <c r="D1223" i="106" s="1"/>
  <c r="L13" i="11"/>
  <c r="B2060" i="106" s="1"/>
  <c r="D2060" i="106" s="1"/>
  <c r="L34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D19" i="7" s="1"/>
  <c r="B1775" i="106" s="1"/>
  <c r="D1775" i="106" s="1"/>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1879" i="106" l="1"/>
  <c r="D1879" i="106" s="1"/>
  <c r="H22" i="37"/>
  <c r="B3628" i="106"/>
  <c r="D3628" i="106" s="1"/>
  <c r="G173" i="5"/>
  <c r="B5770" i="106"/>
  <c r="D5770" i="106" s="1"/>
  <c r="B7733" i="106"/>
  <c r="D7733" i="106" s="1"/>
  <c r="K26" i="12"/>
  <c r="B7743" i="106" s="1"/>
  <c r="D7743" i="106" s="1"/>
  <c r="B5906" i="106"/>
  <c r="D5906" i="106" s="1"/>
  <c r="H6" i="4"/>
  <c r="B2656" i="106" s="1"/>
  <c r="D2656" i="106" s="1"/>
  <c r="D44" i="36"/>
  <c r="D4" i="4"/>
  <c r="B2564" i="106" s="1"/>
  <c r="D2564" i="106" s="1"/>
  <c r="C6" i="4"/>
  <c r="B2553" i="106" s="1"/>
  <c r="D2553" i="106" s="1"/>
  <c r="C4" i="4"/>
  <c r="B2551" i="106" s="1"/>
  <c r="D2551" i="106" s="1"/>
  <c r="K352" i="29"/>
  <c r="K13" i="4" s="1"/>
  <c r="B3572" i="106" s="1"/>
  <c r="D3572" i="106" s="1"/>
  <c r="K342" i="29"/>
  <c r="F13" i="34" s="1"/>
  <c r="H4" i="4"/>
  <c r="B6024" i="106"/>
  <c r="D6024" i="106" s="1"/>
  <c r="G4" i="4"/>
  <c r="B2603" i="106" s="1"/>
  <c r="D2603" i="106" s="1"/>
  <c r="F275" i="5"/>
  <c r="B5720" i="106" s="1"/>
  <c r="D5720" i="106" s="1"/>
  <c r="B1381" i="106"/>
  <c r="D1381" i="106" s="1"/>
  <c r="F65" i="34"/>
  <c r="F73" i="34"/>
  <c r="G15" i="4"/>
  <c r="B6032" i="106" s="1"/>
  <c r="D6032" i="106" s="1"/>
  <c r="H367" i="29"/>
  <c r="B3660" i="106" s="1"/>
  <c r="D3660" i="106" s="1"/>
  <c r="B7242" i="106"/>
  <c r="D7242" i="106" s="1"/>
  <c r="C114" i="29"/>
  <c r="B757" i="106" s="1"/>
  <c r="D757" i="106" s="1"/>
  <c r="B3621" i="106"/>
  <c r="D3621" i="106" s="1"/>
  <c r="C367" i="29"/>
  <c r="B3622" i="106" s="1"/>
  <c r="D3622"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B5778" i="106" l="1"/>
  <c r="D5778" i="106" s="1"/>
  <c r="G6" i="4"/>
  <c r="B2604" i="106" s="1"/>
  <c r="D2604" i="106" s="1"/>
  <c r="B3672" i="106"/>
  <c r="D3672" i="106" s="1"/>
  <c r="J8" i="4"/>
  <c r="B6223" i="106" s="1"/>
  <c r="D6223" i="106" s="1"/>
  <c r="K367" i="29"/>
  <c r="B2655" i="106"/>
  <c r="D2655" i="106" s="1"/>
  <c r="H8" i="4"/>
  <c r="G41" i="108"/>
  <c r="G44" i="108" s="1"/>
  <c r="G45" i="108" s="1"/>
  <c r="E41" i="108"/>
  <c r="E44" i="108" s="1"/>
  <c r="E45" i="108"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20" i="4" l="1"/>
  <c r="F10" i="4"/>
  <c r="B4125" i="106" s="1"/>
  <c r="D4125" i="106" s="1"/>
  <c r="D10" i="171"/>
  <c r="D19" i="171" s="1"/>
  <c r="D32" i="171" s="1"/>
  <c r="D49" i="171" s="1"/>
  <c r="D8" i="4"/>
  <c r="C8" i="146" s="1"/>
  <c r="F76" i="34"/>
  <c r="B2658" i="106"/>
  <c r="D2658" i="106" s="1"/>
  <c r="H10" i="4"/>
  <c r="B4127" i="106" s="1"/>
  <c r="D4127" i="106"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B2568" i="106"/>
  <c r="D2568" i="106" s="1"/>
  <c r="D10" i="4" l="1"/>
  <c r="B4123" i="106" s="1"/>
  <c r="D4123" i="106" s="1"/>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<sst xmlns="http://schemas.openxmlformats.org/spreadsheetml/2006/main" count="5045" uniqueCount="2115">
  <si>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</si>
  <si>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</si>
  <si>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</si>
  <si>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</si>
  <si>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</si>
  <si>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</si>
  <si>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</si>
  <si>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</si>
  <si>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</si>
  <si>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</si>
  <si>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</si>
  <si>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</si>
  <si>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</si>
  <si>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</si>
  <si>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</si>
  <si>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</si>
  <si>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</si>
  <si>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</si>
  <si>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</si>
  <si>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</si>
  <si>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</si>
  <si>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</si>
  <si>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</si>
  <si>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</si>
  <si>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</si>
  <si>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</si>
  <si>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</si>
  <si>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</si>
  <si>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</si>
  <si>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</si>
  <si>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</si>
  <si>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</si>
  <si>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</si>
  <si>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</si>
  <si>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</si>
  <si>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</si>
  <si>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</si>
  <si>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</si>
  <si>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</si>
  <si>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</si>
  <si>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</si>
  <si>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</si>
  <si>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</si>
  <si>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</si>
  <si>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</si>
  <si>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</si>
  <si>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</si>
  <si>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</si>
  <si>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</si>
  <si>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</si>
  <si>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</si>
  <si>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</si>
  <si>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</si>
  <si>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</si>
  <si>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</si>
  <si>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</si>
  <si>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</si>
  <si>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</si>
  <si>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</si>
  <si>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</si>
  <si>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</si>
  <si>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</si>
  <si>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</si>
  <si>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</si>
  <si>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</si>
  <si>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</si>
  <si>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</si>
  <si>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</si>
  <si>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</si>
  <si>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</si>
  <si>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</si>
  <si>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</si>
  <si>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</si>
  <si>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</si>
  <si>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</si>
  <si>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</si>
  <si>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</si>
  <si>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</si>
  <si>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</si>
  <si>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</si>
  <si>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</si>
  <si>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</si>
  <si>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</si>
  <si>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</si>
  <si>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</si>
  <si>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</si>
  <si>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</si>
  <si>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</si>
  <si>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</si>
  <si>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</si>
  <si>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</si>
  <si>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</si>
  <si>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</si>
  <si>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</si>
  <si>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</si>
  <si>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</si>
  <si>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</si>
  <si>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</si>
  <si>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</si>
  <si>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</si>
  <si>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</si>
  <si>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</si>
  <si>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</si>
  <si>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</si>
  <si>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</si>
  <si>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</si>
  <si>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</si>
  <si>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</si>
  <si>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</si>
  <si>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</si>
  <si>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</si>
  <si>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</si>
  <si>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</si>
  <si>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</si>
  <si>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</si>
  <si>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</si>
  <si>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</si>
  <si>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</si>
  <si>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</si>
  <si>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</si>
  <si>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</si>
  <si>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</si>
  <si>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</si>
  <si>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</si>
  <si>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</si>
  <si>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</si>
  <si>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</si>
  <si>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</si>
  <si>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</si>
  <si>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</si>
  <si>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</si>
  <si>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</si>
  <si>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</si>
  <si>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</si>
  <si>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</si>
  <si>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</si>
  <si>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</si>
  <si>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</si>
  <si>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</si>
  <si>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</si>
  <si>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</si>
  <si>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</si>
  <si>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</si>
  <si>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</si>
  <si>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</si>
  <si>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</si>
  <si>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</si>
  <si>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</si>
  <si>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</si>
  <si>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</si>
  <si>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</si>
  <si>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</si>
  <si>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</si>
  <si>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</si>
  <si>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</si>
  <si>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</si>
  <si>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</si>
  <si>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</si>
  <si>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</si>
  <si>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</si>
  <si>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</si>
  <si>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</si>
  <si>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</si>
  <si>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</si>
  <si>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</si>
  <si>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</si>
  <si>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</si>
  <si>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</si>
  <si>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</si>
  <si>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</si>
  <si>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</si>
  <si>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</si>
  <si>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</si>
  <si>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</si>
  <si>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</si>
  <si>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</si>
  <si>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</si>
  <si>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</si>
  <si>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</si>
  <si>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</si>
  <si>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</si>
  <si>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</si>
  <si>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</si>
  <si>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</si>
  <si>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</si>
  <si>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</si>
  <si>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</si>
  <si>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</si>
  <si>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</si>
  <si>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</si>
  <si>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</si>
  <si>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</si>
  <si>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</si>
  <si>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</si>
  <si>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</si>
  <si>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</si>
  <si>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</si>
  <si>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</si>
  <si>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</si>
  <si>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</si>
  <si>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</si>
  <si>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</si>
  <si>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</si>
  <si>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</si>
  <si>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</si>
  <si>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</si>
  <si>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</si>
  <si>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</si>
  <si>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</si>
  <si>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</si>
  <si>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</si>
  <si>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</si>
  <si>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</si>
  <si>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</si>
  <si>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</si>
  <si>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</si>
  <si>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</si>
  <si>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</si>
  <si>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</si>
  <si>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</si>
  <si>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</si>
  <si>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</si>
  <si>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</si>
  <si>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</si>
  <si>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</si>
  <si>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</si>
  <si>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</si>
  <si>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</si>
  <si>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</si>
  <si>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</si>
  <si>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</si>
  <si>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</si>
  <si>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</si>
  <si>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</si>
  <si>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</si>
  <si>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</si>
  <si>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</si>
  <si>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</si>
  <si>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</si>
  <si>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</si>
  <si>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</si>
  <si>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</si>
  <si>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</si>
  <si>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</si>
  <si>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</si>
  <si>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</si>
  <si>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</si>
  <si>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</si>
  <si>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</si>
  <si>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</si>
  <si>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</si>
  <si>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</si>
  <si>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</si>
  <si>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</si>
  <si>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</si>
  <si>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</si>
  <si>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</si>
  <si>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</si>
  <si>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</si>
  <si>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</si>
  <si>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</si>
  <si>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</si>
  <si>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</si>
  <si>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</si>
  <si>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</si>
  <si>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</si>
  <si>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</si>
  <si>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</si>
  <si>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</si>
  <si>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</si>
  <si>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</si>
  <si>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</si>
  <si>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</si>
  <si>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</si>
  <si>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</si>
  <si>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</si>
  <si>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</si>
  <si>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</si>
  <si>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</si>
  <si>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</si>
  <si>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</si>
  <si>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</si>
  <si>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</si>
  <si>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</si>
  <si>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</si>
  <si>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</si>
  <si>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</si>
  <si>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</si>
  <si>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</si>
  <si>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</si>
  <si>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</si>
  <si>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</si>
  <si>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</si>
  <si>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</si>
  <si>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</si>
  <si>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</si>
  <si>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</si>
  <si>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</si>
  <si>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</si>
  <si>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</si>
  <si>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</si>
  <si>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</si>
  <si>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</si>
  <si>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</si>
  <si>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</si>
  <si>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</si>
  <si>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</si>
  <si>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</si>
  <si>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</si>
  <si>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</si>
  <si>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</si>
  <si>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</si>
  <si>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</si>
  <si>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</si>
  <si>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</si>
  <si>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</si>
  <si>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</si>
  <si>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</si>
  <si>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</si>
  <si>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</si>
  <si>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</si>
  <si>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</si>
  <si>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</si>
  <si>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</si>
  <si>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</si>
  <si>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</si>
  <si>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</si>
  <si>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</si>
  <si>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</si>
  <si>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</si>
  <si>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</si>
  <si>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</si>
  <si>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</si>
  <si>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</si>
  <si>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</si>
  <si>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</si>
  <si>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</si>
  <si>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</si>
  <si>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</si>
  <si>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</si>
  <si>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</si>
  <si>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</si>
  <si>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</si>
  <si>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</si>
  <si>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</si>
  <si>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</si>
  <si>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</si>
  <si>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</si>
  <si>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</si>
  <si>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</si>
  <si>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</si>
  <si>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</si>
  <si>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</si>
  <si>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</si>
  <si>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</si>
  <si>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</si>
  <si>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</si>
  <si>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</si>
  <si>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</si>
  <si>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</si>
  <si>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</si>
  <si>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</si>
  <si>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</si>
  <si>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</si>
  <si>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</si>
  <si>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</si>
  <si>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</si>
  <si>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</si>
  <si>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</si>
  <si>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</si>
  <si>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</si>
  <si>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</si>
  <si>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</si>
  <si>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</si>
  <si>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</si>
  <si>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</si>
  <si>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</si>
  <si>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</si>
  <si>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</si>
  <si>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</si>
  <si>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</si>
  <si>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</si>
  <si>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</si>
  <si>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</si>
  <si>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</si>
  <si>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</si>
  <si>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</si>
  <si>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</si>
  <si>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</si>
  <si>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</si>
  <si>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</si>
  <si>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</si>
  <si>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</si>
  <si>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</si>
  <si>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</si>
  <si>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</si>
  <si>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</si>
  <si>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</si>
  <si>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</si>
  <si>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</si>
  <si>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</si>
  <si>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</si>
  <si>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</si>
  <si>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</si>
  <si>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</si>
  <si>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</si>
  <si>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</si>
  <si>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</si>
  <si>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</si>
  <si>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</si>
  <si>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</si>
  <si>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</si>
  <si>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</si>
  <si>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</si>
  <si>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</si>
  <si>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</si>
  <si>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</si>
  <si>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</si>
  <si>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</si>
  <si>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</si>
  <si>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</si>
  <si>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</si>
  <si>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</si>
  <si>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</si>
  <si>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</si>
  <si>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</si>
  <si>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</si>
  <si>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</si>
  <si>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</si>
  <si>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</si>
  <si>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</si>
  <si>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</si>
  <si>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</si>
  <si>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</si>
  <si>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</si>
  <si>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</si>
  <si>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</si>
  <si>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</si>
  <si>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</si>
  <si>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</si>
  <si>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</si>
  <si>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</si>
  <si>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</si>
  <si>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</si>
  <si>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</si>
  <si>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</si>
  <si>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</si>
  <si>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</si>
  <si>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</si>
  <si>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</si>
  <si>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</si>
  <si>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</si>
  <si>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</si>
  <si>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</si>
  <si>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</si>
  <si>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</si>
  <si>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</si>
  <si>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</si>
  <si>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</si>
  <si>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</si>
  <si>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</si>
  <si>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</si>
  <si>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</si>
  <si>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</si>
  <si>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</si>
  <si>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</si>
  <si>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</si>
  <si>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</si>
  <si>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</si>
  <si>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</si>
  <si>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</si>
  <si>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</si>
  <si>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</si>
  <si>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</si>
  <si>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</si>
  <si>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</si>
  <si>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</si>
  <si>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</si>
  <si>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</si>
  <si>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</si>
  <si>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</si>
  <si>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</si>
  <si>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</si>
  <si>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</si>
  <si>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</si>
  <si>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</si>
  <si>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</si>
  <si>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</si>
  <si>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</si>
  <si>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</si>
  <si>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</si>
  <si>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</si>
  <si>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</si>
  <si>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</si>
  <si>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</si>
  <si>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</si>
  <si>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</si>
  <si>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</si>
  <si>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</si>
  <si>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</si>
  <si>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</si>
  <si>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</si>
  <si>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</si>
  <si>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</si>
  <si>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</si>
  <si>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</si>
  <si>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</si>
  <si>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</si>
  <si>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</si>
  <si>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</si>
  <si>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</si>
  <si>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</si>
  <si>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</si>
  <si>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</si>
  <si>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</si>
  <si>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</si>
  <si>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</si>
  <si>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</si>
  <si>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</si>
  <si>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</si>
  <si>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</si>
  <si>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</si>
  <si>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</si>
  <si>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</si>
  <si>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</si>
  <si>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</si>
  <si>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</si>
  <si>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</si>
  <si>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</si>
  <si>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</si>
  <si>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</si>
  <si>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</si>
  <si>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</si>
  <si>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</si>
  <si>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</si>
  <si>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</si>
  <si>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</si>
  <si>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</si>
  <si>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</si>
  <si>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</si>
  <si>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</si>
  <si>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</si>
  <si>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</si>
  <si>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</si>
  <si>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</si>
  <si>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</si>
  <si>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</si>
  <si>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</si>
  <si>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</si>
  <si>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</si>
  <si>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</si>
  <si>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</si>
  <si>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</si>
  <si>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</si>
  <si>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</si>
  <si>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</si>
  <si>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</si>
  <si>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</si>
  <si>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</si>
  <si>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</si>
  <si>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</si>
  <si>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</si>
  <si>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</si>
  <si>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</si>
  <si>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</si>
  <si>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</si>
  <si>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</si>
  <si>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</si>
  <si>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</si>
  <si>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</si>
  <si>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</si>
  <si>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</si>
  <si>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</si>
  <si>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</si>
  <si>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</si>
  <si>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</si>
  <si>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</si>
  <si>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</si>
  <si>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</si>
  <si>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</si>
  <si>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</si>
  <si>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</si>
  <si>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</si>
  <si>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</si>
  <si>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</si>
  <si>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</si>
  <si>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</si>
  <si>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</si>
  <si>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</si>
  <si>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</si>
  <si>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</si>
  <si>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</si>
  <si>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</si>
  <si>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</si>
  <si>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</si>
  <si>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</si>
  <si>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</si>
  <si>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</si>
  <si>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</si>
  <si>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</si>
  <si>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</si>
  <si>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</si>
  <si>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</si>
  <si>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</si>
  <si>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</si>
  <si>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</si>
  <si>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</si>
  <si>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</si>
  <si>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</si>
  <si>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</si>
  <si>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</si>
  <si>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</si>
  <si>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</si>
  <si>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</si>
  <si>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</si>
  <si>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</si>
  <si>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</si>
  <si>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</si>
  <si>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</si>
  <si>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</si>
  <si>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</si>
  <si>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</si>
  <si>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</si>
  <si>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</si>
  <si>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</si>
  <si>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</si>
  <si>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</si>
  <si>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</si>
  <si>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</si>
  <si>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</si>
  <si>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</si>
  <si>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</si>
  <si>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</si>
  <si>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</si>
  <si>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</si>
  <si>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</si>
  <si>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</si>
  <si>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</si>
  <si>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</si>
  <si>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</si>
  <si>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</si>
  <si>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</si>
  <si>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</si>
  <si>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</si>
  <si>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</si>
  <si>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</si>
  <si>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</si>
  <si>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</si>
  <si>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</si>
  <si>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</si>
  <si>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</si>
  <si>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</si>
  <si>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</si>
  <si>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</si>
  <si>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</si>
  <si>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</si>
  <si>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</si>
  <si>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</si>
  <si>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</si>
  <si>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</si>
  <si>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</si>
  <si>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</si>
  <si>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</si>
  <si>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</si>
  <si>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</si>
  <si>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</si>
  <si>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</si>
  <si>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</si>
  <si>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</si>
  <si>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</si>
  <si>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</si>
  <si>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</si>
  <si>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</si>
  <si>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</si>
  <si>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</si>
  <si>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</si>
  <si>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</si>
  <si>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</si>
  <si>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</si>
  <si>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</si>
  <si>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</si>
  <si>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</si>
  <si>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</si>
  <si>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</si>
  <si>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</si>
  <si>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</si>
  <si>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</si>
  <si>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</si>
  <si>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</si>
  <si>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</si>
  <si>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</si>
  <si>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</si>
  <si>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</si>
  <si>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</si>
  <si>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</si>
  <si>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</si>
  <si>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</si>
  <si>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</si>
  <si>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</si>
  <si>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</si>
  <si>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</si>
  <si>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</si>
  <si>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</si>
  <si>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</si>
  <si>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</si>
  <si>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</si>
  <si>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</si>
  <si>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</si>
  <si>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</si>
  <si>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</si>
  <si>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</si>
  <si>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</si>
  <si>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</si>
  <si>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</si>
  <si>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</si>
  <si>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</si>
  <si>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</si>
  <si>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</si>
  <si>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</si>
  <si>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</si>
  <si>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</si>
  <si>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</si>
  <si>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</si>
  <si>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</si>
  <si>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</si>
  <si>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</si>
  <si>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</si>
  <si>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</si>
  <si>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</si>
  <si>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</si>
  <si>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</si>
  <si>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</si>
  <si>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</si>
  <si>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</si>
  <si>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</si>
  <si>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</si>
  <si>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</si>
  <si>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</si>
  <si>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</si>
  <si>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</si>
  <si>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</si>
  <si>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</si>
  <si>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</si>
  <si>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</si>
  <si>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</si>
  <si>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</si>
  <si>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</si>
  <si>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</si>
  <si>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</si>
  <si>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</si>
  <si>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</si>
  <si>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</si>
  <si>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</si>
  <si>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</si>
  <si>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</si>
  <si>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</si>
  <si>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</si>
  <si>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</si>
  <si>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</si>
  <si>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</si>
  <si>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</si>
  <si>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</si>
  <si>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</si>
  <si>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</si>
  <si>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</si>
  <si>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</si>
  <si>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</si>
  <si>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</si>
  <si>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</si>
  <si>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</si>
  <si>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</si>
  <si>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</si>
  <si>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</si>
  <si>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</si>
  <si>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</si>
  <si>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</si>
  <si>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</si>
  <si>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</si>
  <si>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</si>
  <si>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</si>
  <si>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</si>
  <si>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</si>
  <si>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</si>
  <si>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</si>
  <si>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</si>
  <si>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</si>
  <si>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</si>
  <si>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</si>
  <si>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</si>
  <si>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</si>
  <si>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</si>
  <si>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</si>
  <si>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</si>
  <si>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</si>
  <si>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</si>
  <si>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</si>
  <si>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</si>
  <si>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</si>
  <si>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</si>
  <si>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</si>
  <si>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</si>
  <si>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</si>
  <si>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</si>
  <si>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</si>
  <si>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</si>
  <si>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</si>
  <si>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</si>
  <si>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</si>
  <si>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</si>
  <si>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</si>
  <si>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</si>
  <si>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</si>
  <si>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</si>
  <si>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</si>
  <si>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</si>
  <si>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</si>
  <si>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</si>
  <si>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</si>
  <si>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</si>
  <si>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</si>
  <si>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</si>
  <si>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</si>
  <si>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</si>
  <si>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</si>
  <si>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</si>
  <si>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</si>
  <si>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</si>
  <si>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</si>
  <si>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</si>
  <si>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</si>
  <si>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</si>
  <si>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</si>
  <si>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</si>
  <si>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</si>
  <si>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</si>
  <si>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</si>
  <si>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</si>
  <si>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</si>
  <si>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</si>
  <si>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</si>
  <si>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</si>
  <si>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</si>
  <si>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</si>
  <si>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</si>
  <si>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</si>
  <si>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</si>
  <si>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</si>
  <si>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</si>
  <si>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</si>
  <si>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</si>
  <si>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</si>
  <si>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</si>
  <si>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</si>
  <si>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</si>
  <si>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</si>
  <si>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</si>
  <si>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</si>
  <si>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</si>
  <si>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</si>
  <si>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</si>
  <si>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</si>
  <si>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</si>
  <si>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</si>
  <si>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</si>
  <si>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</si>
  <si>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</si>
  <si>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</si>
  <si>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</si>
  <si>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</si>
  <si>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</si>
  <si>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</si>
  <si>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</si>
  <si>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</si>
  <si>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</si>
  <si>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</si>
  <si>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</si>
  <si>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</si>
  <si>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</si>
  <si>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</si>
  <si>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</si>
  <si>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</si>
  <si>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</si>
  <si>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</si>
  <si>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</si>
  <si>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</si>
  <si>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</si>
  <si>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</si>
  <si>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</si>
  <si>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</si>
  <si>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</si>
  <si>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</si>
  <si>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</si>
  <si>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</si>
  <si>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</si>
  <si>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</si>
  <si>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</si>
  <si>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</si>
  <si>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</si>
  <si>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</si>
  <si>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</si>
  <si>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</si>
  <si>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</si>
  <si>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</si>
  <si>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</si>
  <si>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</si>
  <si>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</si>
  <si>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</si>
  <si>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</si>
  <si>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</si>
  <si>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</si>
  <si>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</si>
  <si>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</si>
  <si>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</si>
  <si>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</si>
  <si>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</si>
  <si>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</si>
  <si>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</si>
  <si>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</si>
  <si>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</si>
  <si>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</si>
  <si>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</si>
  <si>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</si>
  <si>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</si>
  <si>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</si>
  <si>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</si>
  <si>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</si>
  <si>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</si>
  <si>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</si>
  <si>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</si>
  <si>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</si>
  <si>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</si>
  <si>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</si>
  <si>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</si>
  <si>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</si>
  <si>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</si>
  <si>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</si>
  <si>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</si>
  <si>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</si>
  <si>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</si>
  <si>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</si>
  <si>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</si>
  <si>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</si>
  <si>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</si>
  <si>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</si>
  <si>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</si>
  <si>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</si>
  <si>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</si>
  <si>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</si>
  <si>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</si>
  <si>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</si>
  <si>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</si>
  <si>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</si>
  <si>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</si>
  <si>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</si>
  <si>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</si>
  <si>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</si>
  <si>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</si>
  <si>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</si>
  <si>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</si>
  <si>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</si>
  <si>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</si>
  <si>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</si>
  <si>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</si>
  <si>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</si>
  <si>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</si>
  <si>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</si>
  <si>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</si>
  <si>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</si>
  <si>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</si>
  <si>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</si>
  <si>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</si>
  <si>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</si>
  <si>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</si>
  <si>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</si>
  <si>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</si>
  <si>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</si>
  <si>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</si>
  <si>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</si>
  <si>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</si>
  <si>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</si>
  <si>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</si>
  <si>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</si>
  <si>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</si>
  <si>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</si>
  <si>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</si>
  <si>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</si>
  <si>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</si>
  <si>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</si>
  <si>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</si>
  <si>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</si>
  <si>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</si>
  <si>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</si>
  <si>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</si>
  <si>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</si>
  <si>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</si>
  <si>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</si>
  <si>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</si>
  <si>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</si>
  <si>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</si>
  <si>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</si>
  <si>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</si>
  <si>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</si>
  <si>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</si>
  <si>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</si>
  <si>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</si>
  <si>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</si>
  <si>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</si>
  <si>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</si>
  <si>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</si>
  <si>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</si>
  <si>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</si>
  <si>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</si>
  <si>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</si>
  <si>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</si>
  <si>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</si>
  <si>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</si>
  <si>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</si>
  <si>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</si>
  <si>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</si>
  <si>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</si>
  <si>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</si>
  <si>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</si>
  <si>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</si>
  <si>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</si>
  <si>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</si>
  <si>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</si>
  <si>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</si>
  <si>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</si>
  <si>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</si>
  <si>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</si>
  <si>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</si>
  <si>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</si>
  <si>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</si>
  <si>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</si>
  <si>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</si>
  <si>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</si>
  <si>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</si>
  <si>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</si>
  <si>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</si>
  <si>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</si>
  <si>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</si>
  <si>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</si>
  <si>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</si>
  <si>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</si>
  <si>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</si>
  <si>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</si>
  <si>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</si>
  <si>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</si>
  <si>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</si>
  <si>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</si>
  <si>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</si>
  <si>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</si>
  <si>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</si>
  <si>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</si>
  <si>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</si>
  <si>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</si>
  <si>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</si>
  <si>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</si>
  <si>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</si>
  <si>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</si>
  <si>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</si>
  <si>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</si>
  <si>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</si>
  <si>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</si>
  <si>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</si>
  <si>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</si>
  <si>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</si>
  <si>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</si>
  <si>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</si>
  <si>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</si>
  <si>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</si>
  <si>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</si>
  <si>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</si>
  <si>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</si>
  <si>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</si>
  <si>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</si>
  <si>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</si>
  <si>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</si>
  <si>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</si>
  <si>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</si>
  <si>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</si>
  <si>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</si>
  <si>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</si>
  <si>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</si>
  <si>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</si>
  <si>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</si>
  <si>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</si>
  <si>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</si>
  <si>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</si>
  <si>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</si>
  <si>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</si>
  <si>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</si>
  <si>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</si>
  <si>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</si>
  <si>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</si>
  <si>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</si>
  <si>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</si>
  <si>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</si>
  <si>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</si>
  <si>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</si>
  <si>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</si>
  <si>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</si>
  <si>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</si>
  <si>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</si>
  <si>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</si>
  <si>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</si>
  <si>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</si>
  <si>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</si>
  <si>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</si>
  <si>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</si>
  <si>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</si>
  <si>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</si>
  <si>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</si>
  <si>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</si>
  <si>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</si>
  <si>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</si>
  <si>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</si>
  <si>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</si>
  <si>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</si>
  <si>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</si>
  <si>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</si>
  <si>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</si>
  <si>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</si>
  <si>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</si>
  <si>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</si>
  <si>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</si>
  <si>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</si>
  <si>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</si>
  <si>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</si>
  <si>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</si>
  <si>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</si>
  <si>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</si>
  <si>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</si>
  <si>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</si>
  <si>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</si>
  <si>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</si>
  <si>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</si>
  <si>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</si>
  <si>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</si>
  <si>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</si>
  <si>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</si>
  <si>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</si>
  <si>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</si>
  <si>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</si>
  <si>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</si>
  <si>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</si>
  <si>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</si>
  <si>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</si>
  <si>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</si>
  <si>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</si>
  <si>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</si>
  <si>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</si>
  <si>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</si>
  <si>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</si>
  <si>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</si>
  <si>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</si>
  <si>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</si>
  <si>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</si>
  <si>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</si>
  <si>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</si>
  <si>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</si>
  <si>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</si>
  <si>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</si>
  <si>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</si>
  <si>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</si>
  <si>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</si>
  <si>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</si>
  <si>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</si>
  <si>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</si>
  <si>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</si>
  <si>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</si>
  <si>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</si>
  <si>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</si>
  <si>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</si>
  <si>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</si>
  <si>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</si>
  <si>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</si>
  <si>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</si>
  <si>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</si>
  <si>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</si>
  <si>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</si>
  <si>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</si>
  <si>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</si>
  <si>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</si>
  <si>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</si>
  <si>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</si>
  <si>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</si>
  <si>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</si>
  <si>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</si>
  <si>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</si>
  <si>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</si>
  <si>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</si>
  <si>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</si>
  <si>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</si>
  <si>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</si>
  <si>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</si>
  <si>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</si>
  <si>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</si>
  <si>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</si>
  <si>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</si>
  <si>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</si>
  <si>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</si>
  <si>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</si>
  <si>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</si>
  <si>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</si>
  <si>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</si>
  <si>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</si>
  <si>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</si>
  <si>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</si>
  <si>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</si>
  <si>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</si>
  <si>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</si>
  <si>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</si>
  <si>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</si>
  <si>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</si>
  <si>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</si>
  <si>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</si>
  <si>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</si>
  <si>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</si>
  <si>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</si>
  <si>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</si>
  <si>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</si>
  <si>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</si>
  <si>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</si>
  <si>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</si>
  <si>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</si>
  <si>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</si>
  <si>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</si>
  <si>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</si>
  <si>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</si>
  <si>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</si>
  <si>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</si>
  <si>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</si>
  <si>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</si>
  <si>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</si>
  <si>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</si>
  <si>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</si>
  <si>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</si>
  <si>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</si>
  <si>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</si>
  <si>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</si>
  <si>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</si>
  <si>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</si>
  <si>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</si>
  <si>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</si>
  <si>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</si>
  <si>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</si>
  <si>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</si>
  <si>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</si>
  <si>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</si>
  <si>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</si>
  <si>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</si>
  <si>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</si>
  <si>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</si>
  <si>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</si>
  <si>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</si>
  <si>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</si>
  <si>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</si>
  <si>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</si>
  <si>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</si>
  <si>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</si>
  <si>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</si>
  <si>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</si>
  <si>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</si>
  <si>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</si>
  <si>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</si>
  <si>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</si>
  <si>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</si>
  <si>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</si>
  <si>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</si>
  <si>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</si>
  <si>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</si>
  <si>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</si>
  <si>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</si>
  <si>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</si>
  <si>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</si>
  <si>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</si>
  <si>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</si>
  <si>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</si>
  <si>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</si>
  <si>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</si>
  <si>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</si>
  <si>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</si>
  <si>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</si>
  <si>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</si>
  <si>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</si>
  <si>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</si>
  <si>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</si>
  <si>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</si>
  <si>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</si>
  <si>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</si>
  <si>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</si>
  <si>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</si>
  <si>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</si>
  <si>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</si>
  <si>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</si>
  <si>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</si>
  <si>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</si>
  <si>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</si>
  <si>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</si>
  <si>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</si>
  <si>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</si>
  <si>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</si>
  <si>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</si>
  <si>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</si>
  <si>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</si>
  <si>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</si>
  <si>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</si>
  <si>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</si>
  <si>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</si>
  <si>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</si>
  <si>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</si>
  <si>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</si>
  <si>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</si>
  <si>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</si>
  <si>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</si>
  <si>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</si>
  <si>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</si>
  <si>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</si>
  <si>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</si>
  <si>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</si>
  <si>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</si>
  <si>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</si>
  <si>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</si>
  <si>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</si>
  <si>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</si>
  <si>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</si>
  <si>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</si>
  <si>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</si>
  <si>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</si>
  <si>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</si>
  <si>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</si>
  <si>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</si>
  <si>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</si>
  <si>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</si>
  <si>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</si>
  <si>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</si>
  <si>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</si>
  <si>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</si>
  <si>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</si>
  <si>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</si>
  <si>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</si>
  <si>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</si>
  <si>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</si>
  <si>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</si>
  <si>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</si>
  <si>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</si>
  <si>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</si>
  <si>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</si>
  <si>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</si>
  <si>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</si>
  <si>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</si>
  <si>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</si>
  <si>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</si>
  <si>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</si>
  <si>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</si>
  <si>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</si>
  <si>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</si>
  <si>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</si>
  <si>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</si>
  <si>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</si>
  <si>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</si>
  <si>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</si>
  <si>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</si>
  <si>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</si>
  <si>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</si>
  <si>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</si>
  <si>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</si>
  <si>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</si>
  <si>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</si>
  <si>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</si>
  <si>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</si>
  <si>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</si>
  <si>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</si>
  <si>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</si>
  <si>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</si>
  <si>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</si>
  <si>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</si>
  <si>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</si>
  <si>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</si>
  <si>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</si>
  <si>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</si>
  <si>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</si>
  <si>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</si>
  <si>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</si>
  <si>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</si>
  <si>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</si>
  <si>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</si>
  <si>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</si>
  <si>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</si>
  <si>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</si>
  <si>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</si>
  <si>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</si>
  <si>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</si>
  <si>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</si>
  <si>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</si>
  <si>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</si>
  <si>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</si>
  <si>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</si>
  <si>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</si>
  <si>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</si>
  <si>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</si>
  <si>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</si>
  <si>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</si>
  <si>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</si>
  <si>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</si>
  <si>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</si>
  <si>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</si>
  <si>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</si>
  <si>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</si>
  <si>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</si>
  <si>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</si>
  <si>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</si>
  <si>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</si>
  <si>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</si>
  <si>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</si>
  <si>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</si>
  <si>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</si>
  <si>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</si>
  <si>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</si>
  <si>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</si>
  <si>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</si>
  <si>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</si>
  <si>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</si>
  <si>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</si>
  <si>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</si>
  <si>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</si>
  <si>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</si>
  <si>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</si>
  <si>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</si>
  <si>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</si>
  <si>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</si>
  <si>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</si>
  <si>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</si>
  <si>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</si>
  <si>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</si>
  <si>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</si>
  <si>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</si>
  <si>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</si>
  <si>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</si>
  <si>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</si>
  <si>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</si>
  <si>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</si>
  <si>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</si>
  <si>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</si>
  <si>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</si>
  <si>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</si>
  <si>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</si>
  <si>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</si>
  <si>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</si>
  <si>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</si>
  <si>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</si>
  <si>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</si>
  <si>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</si>
  <si>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</si>
  <si>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</si>
  <si>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</si>
  <si>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</si>
  <si>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</si>
  <si>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</si>
  <si>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</si>
  <si>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</si>
  <si>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</si>
  <si>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</si>
  <si>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</si>
  <si>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</si>
  <si>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</si>
  <si>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</si>
  <si>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</si>
  <si>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</si>
  <si>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</si>
  <si>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</si>
  <si>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</si>
  <si>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</si>
  <si>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</si>
  <si>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</si>
  <si>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</si>
  <si>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</si>
  <si>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</si>
  <si>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</si>
  <si>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</si>
  <si>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</si>
  <si>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</si>
  <si>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</si>
  <si>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</si>
  <si>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</si>
  <si>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</si>
  <si>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</si>
  <si>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</si>
  <si>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</si>
  <si>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</si>
  <si>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</si>
  <si>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</si>
  <si>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</si>
  <si>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</si>
  <si>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</si>
  <si>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</si>
  <si>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</si>
  <si>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</si>
  <si>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</si>
  <si>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</si>
  <si>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</si>
  <si>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</si>
  <si>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</si>
  <si>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</si>
  <si>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</si>
  <si>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</si>
  <si>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</si>
  <si>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</si>
  <si>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</si>
  <si>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</si>
  <si>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</si>
  <si>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</si>
  <si>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</si>
  <si>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</si>
  <si>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</si>
  <si>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</si>
  <si>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</si>
  <si>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</si>
  <si>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</si>
  <si>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</si>
  <si>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</si>
  <si>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</si>
  <si>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</si>
  <si>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</si>
  <si>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</si>
  <si>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</si>
  <si>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</si>
  <si>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</si>
  <si>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</si>
  <si>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</si>
  <si>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</si>
  <si>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</si>
  <si>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</si>
  <si>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</si>
  <si>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</si>
  <si>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</si>
  <si>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</si>
  <si>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</si>
  <si>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</si>
  <si>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</si>
  <si>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</si>
  <si>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</si>
  <si>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</si>
  <si>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</si>
  <si>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</si>
  <si>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</si>
  <si>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</si>
  <si>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</si>
  <si>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</si>
  <si>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</si>
  <si>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</si>
  <si>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</si>
  <si>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</si>
  <si>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</si>
  <si>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</si>
  <si>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</si>
  <si>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</si>
  <si>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</si>
  <si>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</si>
  <si>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</si>
  <si>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</si>
  <si>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</si>
  <si>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</si>
  <si>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</si>
  <si>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</si>
  <si>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</si>
  <si>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</si>
  <si>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</si>
  <si>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</si>
  <si>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</si>
  <si>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</si>
  <si>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</si>
  <si>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</si>
  <si>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</si>
  <si>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</si>
  <si>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</si>
  <si>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</si>
  <si>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</si>
  <si>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</si>
  <si>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</si>
  <si>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</si>
  <si>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</si>
  <si>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</si>
  <si>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</si>
  <si>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</si>
  <si>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</si>
  <si>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</si>
  <si>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</si>
  <si>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</si>
  <si>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</si>
  <si>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</si>
  <si>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</si>
  <si>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</si>
  <si>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</si>
  <si>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</si>
  <si>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</si>
  <si>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</si>
  <si>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</si>
  <si>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</si>
  <si>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</si>
  <si>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</si>
  <si>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</si>
  <si>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</si>
  <si>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</si>
  <si>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</si>
  <si>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</si>
  <si>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</si>
  <si>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</si>
  <si>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</si>
  <si>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</si>
  <si>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</si>
  <si>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</si>
  <si>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</si>
  <si>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</si>
  <si>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</si>
  <si>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</si>
  <si>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</si>
  <si>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</si>
  <si>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</si>
  <si>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</si>
  <si>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</si>
  <si>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</si>
  <si>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</si>
  <si>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</si>
  <si>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</si>
  <si>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</si>
  <si>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</si>
  <si>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</si>
  <si>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</si>
  <si>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</si>
  <si>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</si>
  <si>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</si>
  <si>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</si>
  <si>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</si>
  <si>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</si>
  <si>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</si>
  <si>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</si>
  <si>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</si>
  <si>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</si>
  <si>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</si>
  <si>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</si>
  <si>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</si>
  <si>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</si>
  <si>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</si>
  <si>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</si>
  <si>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</si>
  <si>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</si>
  <si>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</si>
  <si>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</si>
  <si>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</si>
  <si>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</si>
  <si>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</si>
  <si>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</si>
  <si>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</si>
  <si>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</si>
  <si>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</si>
  <si>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</si>
  <si>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</si>
  <si>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</si>
  <si>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</si>
  <si>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</si>
  <si>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</si>
  <si>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</si>
  <si>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</si>
  <si>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</si>
  <si>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</si>
  <si>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</si>
  <si>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</si>
  <si>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</si>
  <si>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</si>
  <si>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</si>
  <si>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</si>
  <si>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</si>
  <si>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</si>
  <si>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</si>
  <si>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</si>
  <si>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</si>
  <si>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</si>
  <si>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</si>
  <si>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</si>
  <si>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</si>
  <si>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</si>
  <si>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</si>
  <si>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</si>
  <si>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</si>
  <si>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</si>
  <si>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</si>
  <si>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</si>
  <si>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</si>
  <si>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</si>
  <si>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</si>
  <si>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</si>
  <si>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</si>
  <si>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</si>
  <si>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</si>
  <si>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</si>
  <si>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</si>
  <si>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</si>
  <si>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</si>
  <si>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</si>
  <si>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</si>
  <si>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</si>
  <si>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</si>
  <si>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</si>
  <si>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</si>
  <si>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</si>
  <si>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</si>
  <si>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</si>
  <si>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</si>
  <si>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</si>
  <si>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</si>
  <si>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</si>
  <si>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</si>
  <si>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</si>
  <si>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</si>
  <si>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</si>
  <si>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</si>
  <si>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</si>
  <si>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</si>
  <si>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</si>
  <si>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</si>
  <si>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</si>
  <si>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</si>
  <si>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</si>
  <si>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</si>
  <si>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</si>
  <si>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</si>
  <si>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</si>
  <si>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</si>
  <si>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</si>
  <si>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</si>
  <si>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</si>
  <si>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</si>
  <si>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</si>
  <si>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</si>
  <si>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</si>
  <si>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</si>
  <si>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</si>
  <si>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</si>
  <si>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</si>
  <si>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</si>
  <si>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</si>
  <si>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</si>
  <si>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</si>
  <si>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</si>
  <si>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</si>
  <si>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</si>
  <si>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</si>
  <si>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</si>
  <si>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</si>
  <si>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</si>
  <si>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</si>
  <si>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</si>
  <si>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</si>
  <si>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</si>
  <si>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</si>
  <si>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</si>
  <si>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</si>
  <si>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</si>
  <si>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</si>
  <si>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</si>
  <si>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</si>
  <si>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</si>
  <si>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</si>
  <si>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</si>
  <si>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</si>
  <si>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</si>
  <si>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</si>
  <si>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</si>
  <si>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</si>
  <si>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</si>
  <si>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</si>
  <si>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</si>
  <si>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</si>
  <si>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</si>
  <si>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</si>
  <si>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</si>
  <si>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</si>
  <si>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</si>
  <si>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</si>
  <si>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</si>
  <si>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</si>
  <si>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</si>
  <si>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</si>
  <si>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</si>
  <si>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</si>
  <si>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</si>
  <si>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</si>
  <si>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</si>
  <si>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</si>
  <si>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</si>
  <si>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</si>
  <si>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</si>
  <si>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</si>
  <si>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</si>
  <si>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</si>
  <si>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</si>
  <si>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</si>
  <si>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</si>
  <si>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</si>
  <si>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</si>
  <si>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</si>
  <si>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</si>
  <si>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</si>
  <si>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</si>
  <si>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</si>
  <si>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</si>
  <si>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</si>
  <si>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</si>
  <si>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</si>
  <si>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</si>
  <si>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</si>
  <si>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</si>
  <si>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</si>
  <si>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</si>
  <si>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</si>
  <si>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</si>
  <si>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</si>
  <si>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</si>
  <si>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</si>
  <si>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</si>
  <si>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</si>
  <si>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</si>
  <si>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</si>
  <si>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</si>
  <si>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</si>
  <si>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</si>
  <si>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</si>
  <si>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</si>
  <si>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</si>
  <si>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</si>
  <si>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</si>
  <si>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</si>
  <si>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</si>
  <si>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</si>
  <si>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</si>
  <si>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</si>
  <si>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</si>
  <si>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</si>
  <si>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</si>
  <si>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</si>
  <si>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</si>
  <si>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</si>
  <si>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</si>
  <si>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</si>
  <si>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</si>
  <si>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</si>
  <si>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</si>
  <si>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</si>
  <si>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</si>
  <si>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</si>
  <si>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</si>
  <si>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</si>
  <si>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</si>
  <si>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</si>
  <si>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</si>
  <si>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</si>
  <si>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</si>
  <si>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</si>
  <si>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</si>
  <si>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</si>
  <si>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</si>
  <si>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</si>
  <si>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</si>
  <si>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</si>
  <si>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</si>
  <si>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</si>
  <si>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</si>
  <si>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</si>
  <si>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</si>
  <si>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</si>
  <si>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</si>
  <si>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</si>
  <si>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</si>
  <si>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</si>
  <si>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</si>
  <si>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</si>
  <si>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</si>
  <si>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</si>
  <si>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</si>
  <si>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</si>
  <si>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</si>
  <si>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</si>
  <si>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</si>
  <si>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</si>
  <si>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</si>
  <si>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</si>
  <si>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</si>
  <si>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</si>
  <si>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</si>
  <si>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</si>
  <si>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</si>
  <si>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</si>
  <si>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</si>
  <si>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</si>
  <si>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</si>
  <si>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</si>
  <si>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</si>
  <si>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</si>
  <si>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</si>
  <si>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</si>
  <si>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</si>
  <si>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</si>
  <si>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</si>
  <si>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</si>
  <si>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</si>
  <si>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</si>
  <si>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</si>
  <si>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</si>
  <si>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</si>
  <si>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</si>
  <si>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</si>
  <si>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</si>
  <si>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</si>
  <si>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</si>
  <si>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</si>
  <si>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</si>
  <si>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</si>
  <si>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</si>
  <si>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</si>
  <si>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</si>
  <si>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</si>
  <si>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</si>
  <si>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</si>
  <si>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</si>
  <si>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</si>
  <si>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</si>
  <si>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</si>
  <si>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</si>
  <si>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</si>
  <si>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</si>
  <si>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</si>
  <si>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</si>
  <si>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</si>
  <si>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</si>
  <si>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</si>
  <si>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</si>
  <si>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</si>
  <si>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</si>
  <si>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</si>
  <si>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</si>
  <si>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</si>
  <si>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</si>
  <si>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</si>
  <si>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</si>
  <si>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</si>
  <si>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</si>
  <si>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</si>
  <si>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</si>
  <si>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</si>
  <si>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</si>
  <si>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</si>
  <si>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</si>
  <si>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</si>
  <si>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</si>
  <si>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</si>
  <si>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</si>
  <si>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</si>
  <si>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</si>
  <si>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</si>
  <si>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</si>
  <si>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</si>
  <si>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</si>
  <si>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</si>
  <si>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</si>
  <si>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</si>
  <si>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</si>
  <si>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</si>
  <si>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</si>
  <si>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</si>
  <si>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</si>
  <si>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</si>
  <si>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</si>
  <si>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</si>
  <si>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</si>
  <si>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</si>
  <si>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</si>
  <si>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</si>
  <si>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</si>
  <si>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</si>
  <si>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</si>
  <si>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</si>
  <si>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</si>
  <si>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</si>
  <si>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</si>
  <si>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</si>
  <si>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</si>
  <si>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</si>
  <si>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</si>
  <si>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</si>
  <si>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</si>
  <si>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</si>
  <si>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</si>
  <si>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</si>
  <si>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</si>
  <si>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</si>
  <si>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</si>
  <si>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</si>
  <si>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</si>
  <si>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</si>
  <si>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</si>
  <si>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</si>
  <si>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</si>
  <si>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</si>
  <si>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</si>
  <si>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</si>
  <si>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</si>
  <si>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</si>
  <si>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</si>
  <si>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</si>
  <si>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</si>
  <si>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</si>
  <si>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</si>
  <si>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</si>
  <si>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</si>
  <si>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</si>
  <si>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</si>
  <si>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</si>
  <si>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</si>
  <si>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</si>
  <si>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</si>
  <si>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</si>
  <si>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</si>
  <si>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</si>
  <si>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</si>
  <si>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</si>
  <si>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</si>
  <si>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</si>
  <si>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</si>
  <si>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</si>
  <si>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</si>
  <si>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</si>
  <si>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</si>
  <si>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</si>
  <si>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</si>
  <si>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</si>
  <si>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</si>
  <si>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</si>
  <si>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</si>
  <si>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</si>
  <si>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</si>
  <si>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</si>
  <si>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</si>
  <si>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</si>
  <si>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</si>
  <si>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</si>
  <si>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</si>
  <si>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</si>
  <si>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</si>
  <si>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</si>
  <si>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</si>
  <si>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</si>
  <si>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</si>
  <si>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</si>
  <si>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</si>
  <si>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</si>
  <si>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</si>
  <si>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</si>
  <si>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</si>
  <si>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</si>
  <si>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</si>
  <si>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</si>
  <si>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</si>
  <si>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</si>
  <si>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</si>
  <si>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</si>
  <si>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</si>
  <si>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</si>
  <si>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</si>
  <si>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</si>
  <si>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</si>
  <si>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</si>
  <si>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</si>
  <si>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</si>
  <si>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</si>
  <si>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</si>
  <si>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BENNING GROUP, LLC</t>
  </si>
  <si>
    <t>JENNY L. BLOCKER</t>
  </si>
  <si>
    <t>50 W. DOUGLAS STREET, SUITE 801</t>
  </si>
  <si>
    <t>FREEPORT</t>
  </si>
  <si>
    <t>815/235-3157</t>
  </si>
  <si>
    <t>066-004238</t>
  </si>
  <si>
    <t>IL</t>
  </si>
  <si>
    <t>jblocker@benninggroup.com</t>
  </si>
  <si>
    <t>JO DAVIESS</t>
  </si>
  <si>
    <t>210 MAIN STREET</t>
  </si>
  <si>
    <t>X</t>
  </si>
  <si>
    <t>DR. WILLIAM CARON</t>
  </si>
  <si>
    <t>billcaron@scalesmound.net</t>
  </si>
  <si>
    <t>815/845-2215</t>
  </si>
  <si>
    <t>815/845-2238</t>
  </si>
  <si>
    <t>AARON MERCIER</t>
  </si>
  <si>
    <t>amercier@roe8.com</t>
  </si>
  <si>
    <t>815/599-1408</t>
  </si>
  <si>
    <t>815/297-9032</t>
  </si>
  <si>
    <t>SCALES MOUND</t>
  </si>
  <si>
    <t>10-1000-300</t>
  </si>
  <si>
    <t>TC Networks Inc.</t>
  </si>
  <si>
    <t xml:space="preserve">Northwest Special Education District </t>
  </si>
  <si>
    <t xml:space="preserve">Galena School District - Billingual Education </t>
  </si>
  <si>
    <t>Jo Daviess Carroll CTEA &amp; Eagle Ridge VDS</t>
  </si>
  <si>
    <t xml:space="preserve">Account </t>
  </si>
  <si>
    <t xml:space="preserve">Page </t>
  </si>
  <si>
    <t xml:space="preserve">Fund </t>
  </si>
  <si>
    <t>Line #</t>
  </si>
  <si>
    <t xml:space="preserve">Description </t>
  </si>
  <si>
    <t xml:space="preserve">Other food revenue </t>
  </si>
  <si>
    <t xml:space="preserve">REAP grant </t>
  </si>
  <si>
    <t xml:space="preserve">Equipment sale </t>
  </si>
  <si>
    <t xml:space="preserve">Convenience fee </t>
  </si>
  <si>
    <t xml:space="preserve">ED-Instruction-Purchased Services </t>
  </si>
  <si>
    <t>815/235-3158</t>
  </si>
  <si>
    <t xml:space="preserve">Amount </t>
  </si>
  <si>
    <t>Scales Mound CUSD 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</si>
</sst>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164" fontId="97" fillId="0" borderId="0" xfId="0" applyNumberFormat="1" applyFont="1"/>
    <xf numFmtId="0" fontId="74" fillId="0" borderId="0" xfId="0" applyFont="1"/>
    <xf numFmtId="0" fontId="65" fillId="0" borderId="0" xfId="0" applyFont="1" applyAlignment="1">
      <alignment horizontal="left"/>
    </xf>
    <xf numFmtId="181" fontId="56" fillId="0" borderId="166" xfId="19" applyNumberFormat="1" applyFont="1" applyBorder="1" applyAlignment="1">
      <alignment horizontal="left"/>
    </xf>
    <xf numFmtId="0" fontId="1" fillId="0" borderId="158" xfId="17" applyFont="1" applyBorder="1" applyAlignment="1" applyProtection="1">
      <alignment horizontal="left" vertical="top" wrapText="1"/>
      <protection locked="0"/>
    </xf>
    <xf numFmtId="0" fontId="56" fillId="0" borderId="0" xfId="0" applyFont="1" applyAlignment="1">
      <alignment horizontal="center"/>
    </xf>
    <xf numFmtId="0" fontId="65" fillId="0" borderId="0" xfId="0" applyFont="1" applyAlignment="1">
      <alignment horizontal="center"/>
    </xf>
    <xf numFmtId="166" fontId="61" fillId="0" borderId="0" xfId="0" applyNumberFormat="1" applyFont="1" applyAlignment="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173182</xdr:colOff>
          <xdr:row>1</xdr:row>
          <xdr:rowOff>138546</xdr:rowOff>
        </xdr:from>
        <xdr:to>
          <xdr:col>4</xdr:col>
          <xdr:colOff>481445</xdr:colOff>
          <xdr:row>6</xdr:row>
          <xdr:rowOff>97849</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0" t="s">
        <v>425</v>
      </c>
      <c r="J1" s="2041"/>
      <c r="K1" s="2041"/>
      <c r="L1" s="2041"/>
      <c r="M1" s="2041"/>
      <c r="N1" s="2041"/>
      <c r="O1" s="2041"/>
      <c r="P1" s="2041"/>
      <c r="Q1" s="2041"/>
      <c r="R1" s="2041"/>
      <c r="S1" s="2041"/>
    </row>
    <row r="2" spans="1:28" ht="12" customHeight="1" x14ac:dyDescent="0.2">
      <c r="A2" s="47" t="s">
        <v>1684</v>
      </c>
      <c r="D2" s="48"/>
      <c r="I2" s="2042" t="s">
        <v>1036</v>
      </c>
      <c r="J2" s="2041"/>
      <c r="K2" s="2041"/>
      <c r="L2" s="2041"/>
      <c r="M2" s="2041"/>
      <c r="N2" s="2041"/>
      <c r="O2" s="2041"/>
      <c r="P2" s="2041"/>
      <c r="Q2" s="2041"/>
      <c r="R2" s="2041"/>
      <c r="S2" s="2041"/>
    </row>
    <row r="3" spans="1:28" ht="12" customHeight="1" x14ac:dyDescent="0.2">
      <c r="A3" s="155" t="s">
        <v>1685</v>
      </c>
      <c r="B3" s="156"/>
      <c r="C3" s="156"/>
      <c r="D3" s="157"/>
      <c r="I3" s="2042" t="s">
        <v>54</v>
      </c>
      <c r="J3" s="2041"/>
      <c r="K3" s="2041"/>
      <c r="L3" s="2041"/>
      <c r="M3" s="2041"/>
      <c r="N3" s="2041"/>
      <c r="O3" s="2041"/>
      <c r="P3" s="2041"/>
      <c r="Q3" s="2041"/>
      <c r="R3" s="2041"/>
      <c r="S3" s="2041"/>
    </row>
    <row r="4" spans="1:28" ht="12" customHeight="1" x14ac:dyDescent="0.2">
      <c r="A4" s="37"/>
      <c r="I4" s="2042" t="s">
        <v>545</v>
      </c>
      <c r="J4" s="2041"/>
      <c r="K4" s="2041"/>
      <c r="L4" s="2041"/>
      <c r="M4" s="2041"/>
      <c r="N4" s="2041"/>
      <c r="O4" s="2041"/>
      <c r="P4" s="2041"/>
      <c r="Q4" s="2041"/>
      <c r="R4" s="2041"/>
      <c r="S4" s="2041"/>
    </row>
    <row r="5" spans="1:28" ht="14.1" customHeight="1" x14ac:dyDescent="0.2">
      <c r="B5" s="104" t="s">
        <v>2087</v>
      </c>
      <c r="C5" s="26" t="s">
        <v>966</v>
      </c>
      <c r="D5" s="84"/>
      <c r="E5" s="84"/>
      <c r="H5" s="38"/>
      <c r="I5" s="2049" t="s">
        <v>701</v>
      </c>
      <c r="J5" s="1994"/>
      <c r="K5" s="1994"/>
      <c r="L5" s="1994"/>
      <c r="M5" s="1994"/>
      <c r="N5" s="1994"/>
      <c r="O5" s="1994"/>
      <c r="P5" s="1994"/>
      <c r="Q5" s="1994"/>
      <c r="R5" s="1994"/>
      <c r="S5" s="1994"/>
    </row>
    <row r="6" spans="1:28" ht="14.1" customHeight="1" x14ac:dyDescent="0.2">
      <c r="B6" s="104"/>
      <c r="C6" s="26" t="s">
        <v>967</v>
      </c>
      <c r="D6" s="84"/>
      <c r="E6" s="84"/>
      <c r="I6" s="2048" t="s">
        <v>938</v>
      </c>
      <c r="J6" s="1994"/>
      <c r="K6" s="1994"/>
      <c r="L6" s="1994"/>
      <c r="M6" s="1994"/>
      <c r="N6" s="1994"/>
      <c r="O6" s="1994"/>
      <c r="P6" s="1994"/>
      <c r="Q6" s="1994"/>
      <c r="R6" s="1994"/>
      <c r="S6" s="1994"/>
    </row>
    <row r="7" spans="1:28" ht="12.2" customHeight="1" x14ac:dyDescent="0.2">
      <c r="I7" s="2043">
        <v>43281</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695</v>
      </c>
      <c r="J9" s="2046"/>
      <c r="K9" s="2046"/>
      <c r="L9" s="2046"/>
      <c r="M9" s="2046"/>
      <c r="N9" s="2046"/>
      <c r="O9" s="2046"/>
      <c r="P9" s="2046"/>
      <c r="Q9" s="2046"/>
      <c r="R9" s="2046"/>
      <c r="S9" s="2047"/>
      <c r="T9" s="1990" t="s">
        <v>554</v>
      </c>
      <c r="U9" s="1991"/>
      <c r="V9" s="1991"/>
      <c r="W9" s="1991"/>
      <c r="X9" s="1991"/>
      <c r="Y9" s="1991"/>
      <c r="Z9" s="1991"/>
      <c r="AA9" s="1992"/>
    </row>
    <row r="10" spans="1:28" ht="13.5" customHeight="1" x14ac:dyDescent="0.2">
      <c r="A10" s="1999" t="s">
        <v>696</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1012</v>
      </c>
      <c r="B11" s="2003"/>
      <c r="C11" s="2003"/>
      <c r="D11" s="2003"/>
      <c r="E11" s="2003"/>
      <c r="F11" s="2003"/>
      <c r="G11" s="2003"/>
      <c r="H11" s="2004"/>
      <c r="I11" s="27"/>
      <c r="J11" s="74"/>
      <c r="K11" s="27"/>
      <c r="O11" s="148" t="s">
        <v>2087</v>
      </c>
      <c r="P11" s="100" t="s">
        <v>210</v>
      </c>
      <c r="Q11" s="30"/>
      <c r="R11" s="28"/>
      <c r="S11" s="27"/>
      <c r="T11" s="1996"/>
      <c r="U11" s="1997"/>
      <c r="V11" s="1997"/>
      <c r="W11" s="1997"/>
      <c r="X11" s="1997"/>
      <c r="Y11" s="1997"/>
      <c r="Z11" s="1997"/>
      <c r="AA11" s="199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0">
        <v>8043211026</v>
      </c>
      <c r="B13" s="2011"/>
      <c r="C13" s="2011"/>
      <c r="D13" s="2011"/>
      <c r="E13" s="2011"/>
      <c r="F13" s="2011"/>
      <c r="G13" s="2011"/>
      <c r="H13" s="2012"/>
      <c r="I13" s="31"/>
      <c r="J13" s="30"/>
      <c r="K13" s="28"/>
      <c r="L13" s="30"/>
      <c r="M13" s="30"/>
      <c r="N13" s="30"/>
      <c r="O13" s="30"/>
      <c r="P13" s="30"/>
      <c r="Q13" s="30"/>
      <c r="R13" s="30"/>
      <c r="S13" s="30"/>
      <c r="T13" s="2015" t="s">
        <v>2077</v>
      </c>
      <c r="U13" s="2016"/>
      <c r="V13" s="2016"/>
      <c r="W13" s="2016"/>
      <c r="X13" s="2016"/>
      <c r="Y13" s="2017"/>
      <c r="Z13" s="2017"/>
      <c r="AA13" s="201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8" t="s">
        <v>2085</v>
      </c>
      <c r="B15" s="2013"/>
      <c r="C15" s="2013"/>
      <c r="D15" s="2013"/>
      <c r="E15" s="2013"/>
      <c r="F15" s="2013"/>
      <c r="G15" s="2013"/>
      <c r="H15" s="2014"/>
      <c r="T15" s="1976" t="s">
        <v>2078</v>
      </c>
      <c r="U15" s="1977"/>
      <c r="V15" s="1977"/>
      <c r="W15" s="1977"/>
      <c r="X15" s="1977"/>
      <c r="Y15" s="2019"/>
      <c r="Z15" s="2019"/>
      <c r="AA15" s="202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8" t="s">
        <v>2114</v>
      </c>
      <c r="B17" s="2038"/>
      <c r="C17" s="2038"/>
      <c r="D17" s="2038"/>
      <c r="E17" s="2038"/>
      <c r="F17" s="2038"/>
      <c r="G17" s="2038"/>
      <c r="H17" s="2039"/>
      <c r="T17" s="2025" t="s">
        <v>2079</v>
      </c>
      <c r="U17" s="2026"/>
      <c r="V17" s="2026"/>
      <c r="W17" s="2026"/>
      <c r="X17" s="2026"/>
      <c r="Y17" s="2026"/>
      <c r="Z17" s="2026"/>
      <c r="AA17" s="2027"/>
    </row>
    <row r="18" spans="1:27" ht="13.5" customHeight="1" x14ac:dyDescent="0.2">
      <c r="A18" s="85" t="s">
        <v>551</v>
      </c>
      <c r="B18" s="76"/>
      <c r="C18" s="72"/>
      <c r="D18" s="76"/>
      <c r="E18" s="76"/>
      <c r="F18" s="76"/>
      <c r="G18" s="76"/>
      <c r="H18" s="56"/>
      <c r="I18" s="2035" t="s">
        <v>697</v>
      </c>
      <c r="J18" s="2036"/>
      <c r="K18" s="2036"/>
      <c r="L18" s="2036"/>
      <c r="M18" s="2036"/>
      <c r="N18" s="2036"/>
      <c r="O18" s="2036"/>
      <c r="P18" s="2036"/>
      <c r="Q18" s="2036"/>
      <c r="R18" s="2036"/>
      <c r="S18" s="2037"/>
      <c r="T18" s="85" t="s">
        <v>735</v>
      </c>
      <c r="U18" s="51"/>
      <c r="V18" s="72"/>
      <c r="W18" s="50"/>
      <c r="X18" s="85" t="s">
        <v>284</v>
      </c>
      <c r="Y18" s="81"/>
      <c r="Z18" s="159" t="s">
        <v>698</v>
      </c>
      <c r="AA18" s="46"/>
    </row>
    <row r="19" spans="1:27" ht="13.5" customHeight="1" x14ac:dyDescent="0.2">
      <c r="A19" s="2008" t="s">
        <v>2086</v>
      </c>
      <c r="B19" s="2009"/>
      <c r="C19" s="2009"/>
      <c r="D19" s="2009"/>
      <c r="E19" s="2009"/>
      <c r="F19" s="2009"/>
      <c r="G19" s="2009"/>
      <c r="H19" s="2007"/>
      <c r="I19" s="30"/>
      <c r="J19" s="99"/>
      <c r="K19" s="40"/>
      <c r="L19" s="38"/>
      <c r="M19" s="112" t="s">
        <v>333</v>
      </c>
      <c r="P19" s="27"/>
      <c r="Q19" s="27"/>
      <c r="R19" s="27"/>
      <c r="S19" s="31"/>
      <c r="T19" s="2008" t="s">
        <v>2080</v>
      </c>
      <c r="U19" s="2006"/>
      <c r="V19" s="2006"/>
      <c r="W19" s="2007"/>
      <c r="X19" s="2023" t="s">
        <v>2083</v>
      </c>
      <c r="Y19" s="2024"/>
      <c r="Z19" s="2021">
        <v>61032</v>
      </c>
      <c r="AA19" s="202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5" t="s">
        <v>2096</v>
      </c>
      <c r="B21" s="2006"/>
      <c r="C21" s="2006"/>
      <c r="D21" s="2006"/>
      <c r="E21" s="2006"/>
      <c r="F21" s="2006"/>
      <c r="G21" s="2006"/>
      <c r="H21" s="2007"/>
      <c r="I21" s="2031" t="s">
        <v>699</v>
      </c>
      <c r="J21" s="1994"/>
      <c r="K21" s="1994"/>
      <c r="L21" s="1994"/>
      <c r="M21" s="1994"/>
      <c r="N21" s="1994"/>
      <c r="O21" s="1994"/>
      <c r="P21" s="1994"/>
      <c r="Q21" s="1994"/>
      <c r="R21" s="1994"/>
      <c r="S21" s="1995"/>
      <c r="T21" s="1973" t="s">
        <v>2081</v>
      </c>
      <c r="U21" s="1974"/>
      <c r="V21" s="1974"/>
      <c r="W21" s="1974"/>
      <c r="X21" s="1987" t="s">
        <v>2112</v>
      </c>
      <c r="Y21" s="1988"/>
      <c r="Z21" s="1988"/>
      <c r="AA21" s="1989"/>
    </row>
    <row r="22" spans="1:27" ht="13.5" customHeight="1" x14ac:dyDescent="0.2">
      <c r="A22" s="87" t="s">
        <v>552</v>
      </c>
      <c r="B22" s="59"/>
      <c r="C22" s="59"/>
      <c r="D22" s="59"/>
      <c r="E22" s="59"/>
      <c r="F22" s="59"/>
      <c r="G22" s="59"/>
      <c r="H22" s="60"/>
      <c r="I22" s="2032" t="s">
        <v>1504</v>
      </c>
      <c r="J22" s="2033"/>
      <c r="K22" s="2033"/>
      <c r="L22" s="2033"/>
      <c r="M22" s="2033"/>
      <c r="N22" s="2033"/>
      <c r="O22" s="2033"/>
      <c r="P22" s="2033"/>
      <c r="Q22" s="2033"/>
      <c r="R22" s="2033"/>
      <c r="S22" s="2034"/>
      <c r="T22" s="85" t="s">
        <v>1596</v>
      </c>
      <c r="U22" s="51"/>
      <c r="V22" s="72"/>
      <c r="W22" s="51"/>
      <c r="X22" s="160" t="s">
        <v>1385</v>
      </c>
      <c r="Z22" s="45"/>
      <c r="AA22" s="46"/>
    </row>
    <row r="23" spans="1:27" ht="13.5" customHeight="1" x14ac:dyDescent="0.2">
      <c r="A23" s="2028"/>
      <c r="B23" s="2029"/>
      <c r="C23" s="2029"/>
      <c r="D23" s="2029"/>
      <c r="E23" s="2029"/>
      <c r="F23" s="2029"/>
      <c r="G23" s="2029"/>
      <c r="H23" s="2030"/>
      <c r="T23" s="1968" t="s">
        <v>2082</v>
      </c>
      <c r="U23" s="1969"/>
      <c r="V23" s="1969"/>
      <c r="W23" s="1969"/>
      <c r="X23" s="1984">
        <v>43434</v>
      </c>
      <c r="Y23" s="1985"/>
      <c r="Z23" s="1985"/>
      <c r="AA23" s="1986"/>
    </row>
    <row r="24" spans="1:27" ht="14.1" customHeight="1" x14ac:dyDescent="0.2">
      <c r="A24" s="88" t="s">
        <v>698</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552</v>
      </c>
      <c r="U24" s="106"/>
      <c r="V24" s="106"/>
      <c r="W24" s="106"/>
      <c r="X24" s="107"/>
      <c r="Y24" s="107"/>
      <c r="Z24" s="107"/>
      <c r="AA24" s="108"/>
    </row>
    <row r="25" spans="1:27" ht="14.1" customHeight="1" x14ac:dyDescent="0.2">
      <c r="A25" s="2005">
        <v>61075</v>
      </c>
      <c r="B25" s="2006"/>
      <c r="C25" s="2006"/>
      <c r="D25" s="2006"/>
      <c r="E25" s="2006"/>
      <c r="F25" s="2006"/>
      <c r="G25" s="2006"/>
      <c r="H25" s="2007"/>
      <c r="I25" s="113"/>
      <c r="J25" s="2072"/>
      <c r="K25" s="2072"/>
      <c r="L25" s="2072"/>
      <c r="M25" s="2072"/>
      <c r="N25" s="2072"/>
      <c r="O25" s="2072"/>
      <c r="P25" s="2072"/>
      <c r="Q25" s="2072"/>
      <c r="R25" s="2072"/>
      <c r="S25" s="2073"/>
      <c r="T25" s="1965" t="s">
        <v>2084</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3" t="s">
        <v>1591</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2087</v>
      </c>
      <c r="M29" s="40" t="s">
        <v>101</v>
      </c>
      <c r="N29" s="32" t="s">
        <v>1604</v>
      </c>
      <c r="O29" s="32"/>
      <c r="P29" s="32"/>
      <c r="Q29" s="32"/>
      <c r="R29" s="32"/>
      <c r="S29" s="123"/>
      <c r="T29" s="6"/>
      <c r="U29" s="6"/>
      <c r="V29" s="6"/>
      <c r="W29" s="6"/>
      <c r="X29" s="6"/>
      <c r="Y29" s="6"/>
      <c r="Z29" s="6"/>
      <c r="AA29" s="132"/>
    </row>
    <row r="30" spans="1:27" ht="13.5" customHeight="1" x14ac:dyDescent="0.2">
      <c r="A30" s="153"/>
      <c r="B30" s="136" t="s">
        <v>2087</v>
      </c>
      <c r="C30" s="124" t="s">
        <v>1226</v>
      </c>
      <c r="D30" s="28"/>
      <c r="E30" s="28"/>
      <c r="F30" s="140"/>
      <c r="G30" s="114"/>
      <c r="H30" s="114"/>
      <c r="I30" s="54"/>
      <c r="J30" s="102"/>
      <c r="K30" s="28" t="s">
        <v>597</v>
      </c>
      <c r="L30" s="148" t="s">
        <v>2087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8" t="s">
        <v>2088</v>
      </c>
      <c r="B38" s="2038"/>
      <c r="C38" s="2038"/>
      <c r="D38" s="2038"/>
      <c r="E38" s="2038"/>
      <c r="F38" s="2006"/>
      <c r="G38" s="2006"/>
      <c r="H38" s="2007"/>
      <c r="I38" s="2057"/>
      <c r="J38" s="1977"/>
      <c r="K38" s="1977"/>
      <c r="L38" s="1977"/>
      <c r="M38" s="1977"/>
      <c r="N38" s="1977"/>
      <c r="O38" s="1977"/>
      <c r="P38" s="1978"/>
      <c r="Q38" s="1978"/>
      <c r="R38" s="1978"/>
      <c r="S38" s="1979"/>
      <c r="T38" s="1976" t="s">
        <v>2092</v>
      </c>
      <c r="U38" s="1977"/>
      <c r="V38" s="1977"/>
      <c r="W38" s="1977"/>
      <c r="X38" s="1978"/>
      <c r="Y38" s="1978"/>
      <c r="Z38" s="1978"/>
      <c r="AA38" s="1979"/>
    </row>
    <row r="39" spans="1:27" ht="12" customHeight="1" x14ac:dyDescent="0.2">
      <c r="A39" s="2061" t="s">
        <v>552</v>
      </c>
      <c r="B39" s="2062"/>
      <c r="C39" s="72"/>
      <c r="D39" s="69"/>
      <c r="E39" s="69"/>
      <c r="F39" s="79"/>
      <c r="G39" s="69"/>
      <c r="H39" s="56"/>
      <c r="I39" s="2061" t="s">
        <v>552</v>
      </c>
      <c r="J39" s="2062"/>
      <c r="K39" s="2062"/>
      <c r="L39" s="2062"/>
      <c r="M39" s="2062"/>
      <c r="N39" s="67"/>
      <c r="O39" s="72"/>
      <c r="P39" s="72"/>
      <c r="Q39" s="78"/>
      <c r="R39" s="72"/>
      <c r="S39" s="56"/>
      <c r="T39" s="72" t="s">
        <v>552</v>
      </c>
      <c r="U39" s="51"/>
      <c r="V39" s="72"/>
      <c r="W39" s="50"/>
      <c r="X39" s="78"/>
      <c r="Y39" s="45"/>
      <c r="Z39" s="45"/>
      <c r="AA39" s="46"/>
    </row>
    <row r="40" spans="1:27" ht="13.5" customHeight="1" x14ac:dyDescent="0.2">
      <c r="A40" s="2064" t="s">
        <v>2089</v>
      </c>
      <c r="B40" s="2065"/>
      <c r="C40" s="2066"/>
      <c r="D40" s="2066"/>
      <c r="E40" s="2066"/>
      <c r="F40" s="2067"/>
      <c r="G40" s="2067"/>
      <c r="H40" s="2068"/>
      <c r="I40" s="1980"/>
      <c r="J40" s="1982"/>
      <c r="K40" s="1982"/>
      <c r="L40" s="1982"/>
      <c r="M40" s="1982"/>
      <c r="N40" s="1982"/>
      <c r="O40" s="1982"/>
      <c r="P40" s="1982"/>
      <c r="Q40" s="1982"/>
      <c r="R40" s="1982"/>
      <c r="S40" s="1983"/>
      <c r="T40" s="1980" t="s">
        <v>2093</v>
      </c>
      <c r="U40" s="1981"/>
      <c r="V40" s="1982"/>
      <c r="W40" s="1982"/>
      <c r="X40" s="1982"/>
      <c r="Y40" s="1982"/>
      <c r="Z40" s="1982"/>
      <c r="AA40" s="198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4" t="s">
        <v>2090</v>
      </c>
      <c r="B42" s="2055"/>
      <c r="C42" s="2056"/>
      <c r="D42" s="2069" t="s">
        <v>2091</v>
      </c>
      <c r="E42" s="2055"/>
      <c r="F42" s="2055"/>
      <c r="G42" s="2055"/>
      <c r="H42" s="2056"/>
      <c r="I42" s="1975"/>
      <c r="J42" s="1971"/>
      <c r="K42" s="1971"/>
      <c r="L42" s="1971"/>
      <c r="M42" s="1971"/>
      <c r="N42" s="1971"/>
      <c r="O42" s="1972"/>
      <c r="P42" s="1970"/>
      <c r="Q42" s="1971"/>
      <c r="R42" s="1971"/>
      <c r="S42" s="1972"/>
      <c r="T42" s="1975" t="s">
        <v>2094</v>
      </c>
      <c r="U42" s="1971"/>
      <c r="V42" s="1971"/>
      <c r="W42" s="1972"/>
      <c r="X42" s="1970" t="s">
        <v>2095</v>
      </c>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sheetPr>
  <dimension ref="A1:F36"/>
  <sheetViews>
    <sheetView showGridLines="0" defaultGridColor="0" colorId="8" zoomScale="110" zoomScaleNormal="110" workbookViewId="0">
      <selection activeCell="H11" sqref="H1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7" t="s">
        <v>1905</v>
      </c>
      <c r="B2" s="1549" t="s">
        <v>2037</v>
      </c>
      <c r="C2" s="715" t="s">
        <v>1910</v>
      </c>
      <c r="D2" s="715" t="s">
        <v>1911</v>
      </c>
      <c r="E2" s="715" t="s">
        <v>1912</v>
      </c>
      <c r="F2" s="715" t="s">
        <v>1913</v>
      </c>
    </row>
    <row r="3" spans="1:6" ht="12" customHeight="1" x14ac:dyDescent="0.2">
      <c r="A3" s="2208"/>
      <c r="B3" s="1546"/>
      <c r="C3" s="1547"/>
      <c r="D3" s="1548" t="s">
        <v>274</v>
      </c>
      <c r="E3" s="1547"/>
      <c r="F3" s="1548" t="s">
        <v>275</v>
      </c>
    </row>
    <row r="4" spans="1:6" ht="13.7" customHeight="1" x14ac:dyDescent="0.2">
      <c r="A4" s="716" t="s">
        <v>1217</v>
      </c>
      <c r="B4" s="1770">
        <f>'Revenues 9-14'!C5</f>
        <v>3033437</v>
      </c>
      <c r="C4" s="1545">
        <v>624000</v>
      </c>
      <c r="D4" s="1773">
        <f>B4-C4</f>
        <v>2409437</v>
      </c>
      <c r="E4" s="1545">
        <v>2985790</v>
      </c>
      <c r="F4" s="1773">
        <f>E4-C4</f>
        <v>2361790</v>
      </c>
    </row>
    <row r="5" spans="1:6" ht="13.7" customHeight="1" x14ac:dyDescent="0.2">
      <c r="A5" s="716" t="s">
        <v>925</v>
      </c>
      <c r="B5" s="1771">
        <f>'Revenues 9-14'!D5</f>
        <v>443533</v>
      </c>
      <c r="C5" s="585">
        <v>135119</v>
      </c>
      <c r="D5" s="1774">
        <f t="shared" ref="D5:D18" si="0">B5-C5</f>
        <v>308414</v>
      </c>
      <c r="E5" s="585">
        <v>646536</v>
      </c>
      <c r="F5" s="1774">
        <f>E5-C5</f>
        <v>511417</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324471</v>
      </c>
      <c r="C7" s="585">
        <v>70025</v>
      </c>
      <c r="D7" s="1774">
        <f t="shared" si="0"/>
        <v>254446</v>
      </c>
      <c r="E7" s="585">
        <v>335064</v>
      </c>
      <c r="F7" s="1774">
        <f t="shared" si="1"/>
        <v>265039</v>
      </c>
    </row>
    <row r="8" spans="1:6" ht="13.7" customHeight="1" x14ac:dyDescent="0.2">
      <c r="A8" s="716" t="s">
        <v>1241</v>
      </c>
      <c r="B8" s="1771">
        <f>'Revenues 9-14'!G5</f>
        <v>65127</v>
      </c>
      <c r="C8" s="585">
        <v>9605</v>
      </c>
      <c r="D8" s="1774">
        <f t="shared" si="0"/>
        <v>55522</v>
      </c>
      <c r="E8" s="585">
        <v>45960</v>
      </c>
      <c r="F8" s="1774">
        <f t="shared" si="1"/>
        <v>36355</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4064</v>
      </c>
      <c r="C10" s="585">
        <v>202</v>
      </c>
      <c r="D10" s="1774">
        <f t="shared" si="0"/>
        <v>3862</v>
      </c>
      <c r="E10" s="585">
        <v>966</v>
      </c>
      <c r="F10" s="1774">
        <f t="shared" si="1"/>
        <v>764</v>
      </c>
    </row>
    <row r="11" spans="1:6" x14ac:dyDescent="0.2">
      <c r="A11" s="716" t="s">
        <v>429</v>
      </c>
      <c r="B11" s="1771">
        <f>'Revenues 9-14'!J5</f>
        <v>88256</v>
      </c>
      <c r="C11" s="585">
        <v>15007</v>
      </c>
      <c r="D11" s="1774">
        <f t="shared" si="0"/>
        <v>73249</v>
      </c>
      <c r="E11" s="585">
        <v>71808</v>
      </c>
      <c r="F11" s="1774">
        <f t="shared" si="1"/>
        <v>56801</v>
      </c>
    </row>
    <row r="12" spans="1:6" ht="13.7" customHeight="1" x14ac:dyDescent="0.2">
      <c r="A12" s="716" t="s">
        <v>159</v>
      </c>
      <c r="B12" s="1771">
        <f>'Revenues 9-14'!K5</f>
        <v>5041</v>
      </c>
      <c r="C12" s="585">
        <v>401</v>
      </c>
      <c r="D12" s="1774">
        <f t="shared" si="0"/>
        <v>4640</v>
      </c>
      <c r="E12" s="585">
        <v>1921</v>
      </c>
      <c r="F12" s="1774">
        <f t="shared" si="1"/>
        <v>1520</v>
      </c>
    </row>
    <row r="13" spans="1:6" ht="13.7" customHeight="1" x14ac:dyDescent="0.2">
      <c r="A13" s="716" t="s">
        <v>993</v>
      </c>
      <c r="B13" s="1771">
        <f>SUM('Revenues 9-14'!C6:D6)</f>
        <v>38790</v>
      </c>
      <c r="C13" s="585">
        <v>6405</v>
      </c>
      <c r="D13" s="1774">
        <f t="shared" si="0"/>
        <v>32385</v>
      </c>
      <c r="E13" s="585">
        <v>30646</v>
      </c>
      <c r="F13" s="1774">
        <f t="shared" si="1"/>
        <v>24241</v>
      </c>
    </row>
    <row r="14" spans="1:6" ht="13.7" customHeight="1" x14ac:dyDescent="0.2">
      <c r="A14" s="716" t="s">
        <v>430</v>
      </c>
      <c r="B14" s="1771">
        <f>SUM('Revenues 9-14'!C7:D7,'Revenues 9-14'!F7:H7)</f>
        <v>52677</v>
      </c>
      <c r="C14" s="585">
        <v>6405</v>
      </c>
      <c r="D14" s="1774">
        <f t="shared" si="0"/>
        <v>46272</v>
      </c>
      <c r="E14" s="585">
        <v>30646</v>
      </c>
      <c r="F14" s="1774">
        <f t="shared" si="1"/>
        <v>24241</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76240</v>
      </c>
      <c r="C16" s="585">
        <v>13006</v>
      </c>
      <c r="D16" s="1774">
        <f t="shared" si="0"/>
        <v>63234</v>
      </c>
      <c r="E16" s="585">
        <v>62230</v>
      </c>
      <c r="F16" s="1774">
        <f t="shared" si="1"/>
        <v>49224</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4131636</v>
      </c>
      <c r="C19" s="1772">
        <f>SUM(C4:C18)</f>
        <v>880175</v>
      </c>
      <c r="D19" s="1772">
        <f>SUM(D4:D18)</f>
        <v>3251461</v>
      </c>
      <c r="E19" s="1772">
        <f>SUM(E4:E18)</f>
        <v>4211567</v>
      </c>
      <c r="F19" s="1772">
        <f>SUM(F4:F18)</f>
        <v>3331392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K59"/>
  <sheetViews>
    <sheetView showGridLines="0" defaultGridColor="0" topLeftCell="A19"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650</v>
      </c>
      <c r="B1" s="2214"/>
      <c r="C1" s="722"/>
    </row>
    <row r="2" spans="1:7" ht="33.75" x14ac:dyDescent="0.2">
      <c r="A2" s="2222" t="s">
        <v>1905</v>
      </c>
      <c r="B2" s="2223"/>
      <c r="C2" s="1908" t="s">
        <v>2038</v>
      </c>
      <c r="D2" s="724" t="s">
        <v>2045</v>
      </c>
      <c r="E2" s="724" t="s">
        <v>2046</v>
      </c>
      <c r="F2" s="1908" t="s">
        <v>2039</v>
      </c>
    </row>
    <row r="3" spans="1:7" ht="15.75" customHeight="1" x14ac:dyDescent="0.2">
      <c r="A3" s="2226" t="s">
        <v>1176</v>
      </c>
      <c r="B3" s="2227"/>
      <c r="C3" s="2215"/>
      <c r="D3" s="2216"/>
      <c r="E3" s="2216"/>
      <c r="F3" s="2217"/>
    </row>
    <row r="4" spans="1:7" ht="12.75" customHeight="1" thickBot="1" x14ac:dyDescent="0.25">
      <c r="A4" s="2224" t="s">
        <v>651</v>
      </c>
      <c r="B4" s="2225"/>
      <c r="C4" s="581"/>
      <c r="D4" s="581"/>
      <c r="E4" s="581"/>
      <c r="F4" s="1776">
        <f>SUM(C4+D4)-E4</f>
        <v>0</v>
      </c>
    </row>
    <row r="5" spans="1:7" ht="15.75" customHeight="1" thickTop="1" x14ac:dyDescent="0.2">
      <c r="A5" s="2209" t="s">
        <v>1172</v>
      </c>
      <c r="B5" s="2210"/>
      <c r="C5" s="2218"/>
      <c r="D5" s="2219"/>
      <c r="E5" s="2219"/>
      <c r="F5" s="2220"/>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1" t="s">
        <v>652</v>
      </c>
      <c r="B15" s="2212"/>
      <c r="C15" s="1776">
        <f>SUM(C6:C14)</f>
        <v>0</v>
      </c>
      <c r="D15" s="1776">
        <f>SUM(D6:D14)</f>
        <v>0</v>
      </c>
      <c r="E15" s="1776">
        <f>SUM(E6:E14)</f>
        <v>0</v>
      </c>
      <c r="F15" s="1776">
        <f>SUM(F6:F14)</f>
        <v>0</v>
      </c>
      <c r="G15" s="552"/>
    </row>
    <row r="16" spans="1:7" s="202" customFormat="1" ht="15.75" customHeight="1" thickTop="1" x14ac:dyDescent="0.2">
      <c r="A16" s="2221" t="s">
        <v>1173</v>
      </c>
      <c r="B16" s="2210"/>
      <c r="C16" s="2218"/>
      <c r="D16" s="2219"/>
      <c r="E16" s="2219"/>
      <c r="F16" s="2220"/>
    </row>
    <row r="17" spans="1:11" ht="12.75" customHeight="1" thickBot="1" x14ac:dyDescent="0.25">
      <c r="A17" s="2234" t="s">
        <v>66</v>
      </c>
      <c r="B17" s="2235"/>
      <c r="C17" s="727"/>
      <c r="D17" s="585"/>
      <c r="E17" s="727"/>
      <c r="F17" s="1776">
        <f>SUM(C17+D17)-E17</f>
        <v>0</v>
      </c>
    </row>
    <row r="18" spans="1:11" ht="12.75" customHeight="1" thickTop="1" thickBot="1" x14ac:dyDescent="0.25">
      <c r="A18" s="2234" t="s">
        <v>6</v>
      </c>
      <c r="B18" s="2235"/>
      <c r="C18" s="727"/>
      <c r="D18" s="585"/>
      <c r="E18" s="727"/>
      <c r="F18" s="1776">
        <f>SUM(C18+D18)-E18</f>
        <v>0</v>
      </c>
    </row>
    <row r="19" spans="1:11" ht="12.75" customHeight="1" thickTop="1" thickBot="1" x14ac:dyDescent="0.25">
      <c r="A19" s="2234" t="s">
        <v>406</v>
      </c>
      <c r="B19" s="2235"/>
      <c r="C19" s="727"/>
      <c r="D19" s="585"/>
      <c r="E19" s="727"/>
      <c r="F19" s="1776">
        <f>SUM(C19+D19)-E19</f>
        <v>0</v>
      </c>
    </row>
    <row r="20" spans="1:11" ht="12.75" customHeight="1" thickTop="1" thickBot="1" x14ac:dyDescent="0.25">
      <c r="A20" s="2234" t="s">
        <v>468</v>
      </c>
      <c r="B20" s="2235"/>
      <c r="C20" s="727"/>
      <c r="D20" s="585"/>
      <c r="E20" s="727"/>
      <c r="F20" s="1776">
        <f>SUM(C20+D20)-E20</f>
        <v>0</v>
      </c>
    </row>
    <row r="21" spans="1:11" ht="14.25" thickTop="1" thickBot="1" x14ac:dyDescent="0.25">
      <c r="A21" s="2211" t="s">
        <v>653</v>
      </c>
      <c r="B21" s="2212"/>
      <c r="C21" s="1776">
        <f>SUM(C17:C20)</f>
        <v>0</v>
      </c>
      <c r="D21" s="1776">
        <f>SUM(D17:D20)</f>
        <v>0</v>
      </c>
      <c r="E21" s="1776">
        <f>SUM(E17:E20)</f>
        <v>0</v>
      </c>
      <c r="F21" s="1776">
        <f>SUM(F17:F20)</f>
        <v>0</v>
      </c>
      <c r="G21" s="552"/>
    </row>
    <row r="22" spans="1:11" ht="15.75" customHeight="1" thickTop="1" x14ac:dyDescent="0.2">
      <c r="A22" s="2236" t="s">
        <v>1174</v>
      </c>
      <c r="B22" s="2210"/>
      <c r="C22" s="2218"/>
      <c r="D22" s="2219"/>
      <c r="E22" s="2219"/>
      <c r="F22" s="2220"/>
    </row>
    <row r="23" spans="1:11" ht="13.5" thickBot="1" x14ac:dyDescent="0.25">
      <c r="A23" s="2224" t="s">
        <v>654</v>
      </c>
      <c r="B23" s="2225"/>
      <c r="C23" s="581"/>
      <c r="D23" s="581"/>
      <c r="E23" s="581"/>
      <c r="F23" s="1776">
        <f>SUM(C23+D23)-E23</f>
        <v>0</v>
      </c>
      <c r="G23" s="552"/>
    </row>
    <row r="24" spans="1:11" ht="15.75" customHeight="1" thickTop="1" x14ac:dyDescent="0.2">
      <c r="A24" s="2236" t="s">
        <v>1175</v>
      </c>
      <c r="B24" s="2210"/>
      <c r="C24" s="2218"/>
      <c r="D24" s="2219"/>
      <c r="E24" s="2219"/>
      <c r="F24" s="2220"/>
    </row>
    <row r="25" spans="1:11" ht="13.5" thickBot="1" x14ac:dyDescent="0.25">
      <c r="A25" s="2224" t="s">
        <v>655</v>
      </c>
      <c r="B25" s="2225"/>
      <c r="C25" s="581"/>
      <c r="D25" s="581"/>
      <c r="E25" s="581"/>
      <c r="F25" s="1776">
        <f>SUM(C25+D25)-E25</f>
        <v>0</v>
      </c>
      <c r="G25" s="552"/>
    </row>
    <row r="26" spans="1:11" ht="15.75" customHeight="1" thickTop="1" x14ac:dyDescent="0.2">
      <c r="A26" s="2209" t="s">
        <v>678</v>
      </c>
      <c r="B26" s="2210"/>
      <c r="C26" s="728"/>
      <c r="D26" s="728"/>
      <c r="E26" s="728"/>
      <c r="F26" s="729"/>
    </row>
    <row r="27" spans="1:11" ht="13.5" thickBot="1" x14ac:dyDescent="0.25">
      <c r="A27" s="2211" t="s">
        <v>1130</v>
      </c>
      <c r="B27" s="2212"/>
      <c r="C27" s="585"/>
      <c r="D27" s="585"/>
      <c r="E27" s="585"/>
      <c r="F27" s="1776">
        <f>SUM(C27+D27)-E27</f>
        <v>0</v>
      </c>
      <c r="G27" s="552"/>
    </row>
    <row r="28" spans="1:11" ht="7.5" customHeight="1" thickTop="1" x14ac:dyDescent="0.2">
      <c r="A28" s="594"/>
    </row>
    <row r="29" spans="1:11" ht="23.25" customHeight="1" x14ac:dyDescent="0.2">
      <c r="A29" s="2237" t="s">
        <v>603</v>
      </c>
      <c r="B29" s="2214"/>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8" t="s">
        <v>605</v>
      </c>
      <c r="C52" s="2229"/>
      <c r="D52" s="2229"/>
      <c r="E52" s="750" t="s">
        <v>900</v>
      </c>
      <c r="F52" s="2230"/>
      <c r="G52" s="2231"/>
      <c r="H52" s="737"/>
      <c r="I52" s="737"/>
      <c r="J52" s="747"/>
    </row>
    <row r="53" spans="1:11" ht="11.25" customHeight="1" x14ac:dyDescent="0.2">
      <c r="A53" s="751" t="s">
        <v>969</v>
      </c>
      <c r="B53" s="752" t="s">
        <v>1008</v>
      </c>
      <c r="C53" s="747"/>
      <c r="D53" s="738"/>
      <c r="E53" s="750" t="s">
        <v>518</v>
      </c>
      <c r="F53" s="2232"/>
      <c r="G53" s="2233"/>
      <c r="H53" s="737"/>
      <c r="I53" s="737"/>
      <c r="J53" s="747"/>
    </row>
    <row r="54" spans="1:11" ht="11.25" customHeight="1" x14ac:dyDescent="0.2">
      <c r="A54" s="753" t="s">
        <v>970</v>
      </c>
      <c r="B54" s="748" t="s">
        <v>1009</v>
      </c>
      <c r="C54" s="747"/>
      <c r="D54" s="738"/>
      <c r="E54" s="750" t="s">
        <v>519</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K48"/>
  <sheetViews>
    <sheetView showGridLines="0" defaultGridColor="0" colorId="8" zoomScale="110" zoomScaleNormal="110" workbookViewId="0">
      <selection activeCell="A18" sqref="A18:E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911</v>
      </c>
      <c r="B1" s="2263"/>
      <c r="C1" s="2263"/>
      <c r="D1" s="2263"/>
      <c r="E1" s="2263"/>
      <c r="F1" s="2263"/>
      <c r="G1" s="2264"/>
      <c r="H1" s="1551"/>
      <c r="I1" s="761"/>
      <c r="J1" s="433"/>
    </row>
    <row r="2" spans="1:11" ht="26.25" x14ac:dyDescent="0.2">
      <c r="A2" s="2241" t="s">
        <v>1776</v>
      </c>
      <c r="B2" s="2242"/>
      <c r="C2" s="2242"/>
      <c r="D2" s="2242"/>
      <c r="E2" s="2243"/>
      <c r="F2" s="762" t="s">
        <v>960</v>
      </c>
      <c r="G2" s="763" t="s">
        <v>1773</v>
      </c>
      <c r="H2" s="763" t="s">
        <v>430</v>
      </c>
      <c r="I2" s="763" t="s">
        <v>1220</v>
      </c>
      <c r="J2" s="763" t="s">
        <v>1919</v>
      </c>
      <c r="K2" s="763" t="s">
        <v>140</v>
      </c>
    </row>
    <row r="3" spans="1:11" x14ac:dyDescent="0.2">
      <c r="A3" s="2244" t="s">
        <v>1698</v>
      </c>
      <c r="B3" s="2245"/>
      <c r="C3" s="2245"/>
      <c r="D3" s="2245"/>
      <c r="E3" s="2246"/>
      <c r="F3" s="764"/>
      <c r="G3" s="765"/>
      <c r="H3" s="765"/>
      <c r="I3" s="765"/>
      <c r="J3" s="766">
        <v>321913</v>
      </c>
      <c r="K3" s="766"/>
    </row>
    <row r="4" spans="1:11" x14ac:dyDescent="0.2">
      <c r="A4" s="2247" t="s">
        <v>387</v>
      </c>
      <c r="B4" s="2248"/>
      <c r="C4" s="2248"/>
      <c r="D4" s="2248"/>
      <c r="E4" s="2229"/>
      <c r="F4" s="767"/>
      <c r="G4" s="768"/>
      <c r="H4" s="769"/>
      <c r="I4" s="768"/>
      <c r="J4" s="770"/>
      <c r="K4" s="770"/>
    </row>
    <row r="5" spans="1:11" x14ac:dyDescent="0.2">
      <c r="A5" s="2265" t="s">
        <v>1129</v>
      </c>
      <c r="B5" s="2238"/>
      <c r="C5" s="2238"/>
      <c r="D5" s="2238"/>
      <c r="E5" s="2266"/>
      <c r="F5" s="771" t="s">
        <v>903</v>
      </c>
      <c r="G5" s="772"/>
      <c r="H5" s="765">
        <v>52677</v>
      </c>
      <c r="I5" s="773"/>
      <c r="J5" s="774"/>
      <c r="K5" s="774"/>
    </row>
    <row r="6" spans="1:11" x14ac:dyDescent="0.2">
      <c r="A6" s="775" t="s">
        <v>744</v>
      </c>
      <c r="B6" s="776"/>
      <c r="C6" s="776"/>
      <c r="D6" s="776"/>
      <c r="E6" s="777"/>
      <c r="F6" s="778" t="s">
        <v>904</v>
      </c>
      <c r="G6" s="765"/>
      <c r="H6" s="765">
        <v>31</v>
      </c>
      <c r="I6" s="765"/>
      <c r="J6" s="766">
        <v>17</v>
      </c>
      <c r="K6" s="766"/>
    </row>
    <row r="7" spans="1:11" x14ac:dyDescent="0.2">
      <c r="A7" s="779" t="s">
        <v>264</v>
      </c>
      <c r="B7" s="780"/>
      <c r="C7" s="780"/>
      <c r="D7" s="780"/>
      <c r="E7" s="781"/>
      <c r="F7" s="771" t="s">
        <v>905</v>
      </c>
      <c r="G7" s="768"/>
      <c r="H7" s="768"/>
      <c r="I7" s="768"/>
      <c r="J7" s="782"/>
      <c r="K7" s="766">
        <v>650</v>
      </c>
    </row>
    <row r="8" spans="1:11" x14ac:dyDescent="0.2">
      <c r="A8" s="779" t="s">
        <v>363</v>
      </c>
      <c r="B8" s="780"/>
      <c r="C8" s="780"/>
      <c r="D8" s="780"/>
      <c r="E8" s="781"/>
      <c r="F8" s="771" t="s">
        <v>906</v>
      </c>
      <c r="G8" s="783"/>
      <c r="H8" s="783"/>
      <c r="I8" s="783"/>
      <c r="J8" s="766">
        <v>142646</v>
      </c>
      <c r="K8" s="770"/>
    </row>
    <row r="9" spans="1:11" x14ac:dyDescent="0.2">
      <c r="A9" s="779" t="s">
        <v>140</v>
      </c>
      <c r="B9" s="780"/>
      <c r="C9" s="780"/>
      <c r="D9" s="780"/>
      <c r="E9" s="781"/>
      <c r="F9" s="778" t="s">
        <v>908</v>
      </c>
      <c r="G9" s="783"/>
      <c r="H9" s="772"/>
      <c r="I9" s="772"/>
      <c r="J9" s="782"/>
      <c r="K9" s="766">
        <v>2498</v>
      </c>
    </row>
    <row r="10" spans="1:11" x14ac:dyDescent="0.2">
      <c r="A10" s="2265" t="s">
        <v>1920</v>
      </c>
      <c r="B10" s="2238"/>
      <c r="C10" s="2238"/>
      <c r="D10" s="2238"/>
      <c r="E10" s="2267"/>
      <c r="F10" s="784" t="s">
        <v>917</v>
      </c>
      <c r="G10" s="783"/>
      <c r="H10" s="785"/>
      <c r="I10" s="765"/>
      <c r="J10" s="766"/>
      <c r="K10" s="766"/>
    </row>
    <row r="11" spans="1:11" x14ac:dyDescent="0.2">
      <c r="A11" s="2265" t="s">
        <v>162</v>
      </c>
      <c r="B11" s="2238"/>
      <c r="C11" s="2238"/>
      <c r="D11" s="2238"/>
      <c r="E11" s="2266"/>
      <c r="F11" s="771" t="s">
        <v>907</v>
      </c>
      <c r="G11" s="772"/>
      <c r="H11" s="765"/>
      <c r="I11" s="765"/>
      <c r="J11" s="766"/>
      <c r="K11" s="774"/>
    </row>
    <row r="12" spans="1:11" ht="13.5" thickBot="1" x14ac:dyDescent="0.25">
      <c r="A12" s="2255" t="s">
        <v>961</v>
      </c>
      <c r="B12" s="2256"/>
      <c r="C12" s="2256"/>
      <c r="D12" s="2256"/>
      <c r="E12" s="2257"/>
      <c r="F12" s="1778"/>
      <c r="G12" s="1779">
        <f>SUM(G5:G11)</f>
        <v>0</v>
      </c>
      <c r="H12" s="1779">
        <f>SUM(H5:H11)</f>
        <v>52708</v>
      </c>
      <c r="I12" s="1779">
        <f>SUM(I5:I11)</f>
        <v>0</v>
      </c>
      <c r="J12" s="1779">
        <f>SUM(J5:J11)</f>
        <v>142663</v>
      </c>
      <c r="K12" s="1779">
        <f>SUM(K5:K11)</f>
        <v>3148</v>
      </c>
    </row>
    <row r="13" spans="1:11" ht="13.5" thickTop="1" x14ac:dyDescent="0.2">
      <c r="A13" s="2249" t="s">
        <v>388</v>
      </c>
      <c r="B13" s="2250"/>
      <c r="C13" s="2250"/>
      <c r="D13" s="2250"/>
      <c r="E13" s="2251"/>
      <c r="F13" s="786"/>
      <c r="G13" s="787"/>
      <c r="H13" s="788"/>
      <c r="I13" s="789"/>
      <c r="J13" s="789"/>
      <c r="K13" s="789"/>
    </row>
    <row r="14" spans="1:11" x14ac:dyDescent="0.2">
      <c r="A14" s="2271" t="s">
        <v>476</v>
      </c>
      <c r="B14" s="2271"/>
      <c r="C14" s="2271"/>
      <c r="D14" s="2271"/>
      <c r="E14" s="2272"/>
      <c r="F14" s="790" t="s">
        <v>909</v>
      </c>
      <c r="G14" s="783"/>
      <c r="H14" s="765">
        <v>52708</v>
      </c>
      <c r="I14" s="772"/>
      <c r="J14" s="774"/>
      <c r="K14" s="766">
        <v>3148</v>
      </c>
    </row>
    <row r="15" spans="1:11" x14ac:dyDescent="0.2">
      <c r="A15" s="2238" t="s">
        <v>4</v>
      </c>
      <c r="B15" s="2238"/>
      <c r="C15" s="2238"/>
      <c r="D15" s="2238"/>
      <c r="E15" s="2266"/>
      <c r="F15" s="790" t="s">
        <v>910</v>
      </c>
      <c r="G15" s="772"/>
      <c r="H15" s="765"/>
      <c r="I15" s="765"/>
      <c r="J15" s="766">
        <v>166110</v>
      </c>
      <c r="K15" s="766"/>
    </row>
    <row r="16" spans="1:11" x14ac:dyDescent="0.2">
      <c r="A16" s="2238" t="s">
        <v>316</v>
      </c>
      <c r="B16" s="2238"/>
      <c r="C16" s="2238"/>
      <c r="D16" s="2238"/>
      <c r="E16" s="2266"/>
      <c r="F16" s="790" t="s">
        <v>980</v>
      </c>
      <c r="G16" s="773"/>
      <c r="H16" s="768"/>
      <c r="I16" s="768"/>
      <c r="J16" s="770"/>
      <c r="K16" s="770"/>
    </row>
    <row r="17" spans="1:11" x14ac:dyDescent="0.2">
      <c r="A17" s="2260" t="s">
        <v>992</v>
      </c>
      <c r="B17" s="2260"/>
      <c r="C17" s="2260"/>
      <c r="D17" s="2260"/>
      <c r="E17" s="2261"/>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73" t="s">
        <v>1916</v>
      </c>
      <c r="B19" s="2273"/>
      <c r="C19" s="2273"/>
      <c r="D19" s="2273"/>
      <c r="E19" s="2274"/>
      <c r="F19" s="790" t="s">
        <v>990</v>
      </c>
      <c r="G19" s="783"/>
      <c r="H19" s="783"/>
      <c r="I19" s="783"/>
      <c r="J19" s="766"/>
      <c r="K19" s="796"/>
    </row>
    <row r="20" spans="1:11" x14ac:dyDescent="0.2">
      <c r="A20" s="2252" t="s">
        <v>1921</v>
      </c>
      <c r="B20" s="2253"/>
      <c r="C20" s="2253"/>
      <c r="D20" s="2253"/>
      <c r="E20" s="2254"/>
      <c r="F20" s="790" t="s">
        <v>991</v>
      </c>
      <c r="G20" s="783"/>
      <c r="H20" s="783"/>
      <c r="I20" s="783"/>
      <c r="J20" s="766"/>
      <c r="K20" s="796"/>
    </row>
    <row r="21" spans="1:11" ht="13.5" thickBot="1" x14ac:dyDescent="0.25">
      <c r="A21" s="2258" t="s">
        <v>659</v>
      </c>
      <c r="B21" s="2258"/>
      <c r="C21" s="2258"/>
      <c r="D21" s="2258"/>
      <c r="E21" s="2258"/>
      <c r="F21" s="1780"/>
      <c r="G21" s="793"/>
      <c r="H21" s="797"/>
      <c r="I21" s="797"/>
      <c r="J21" s="1781">
        <f>SUM(J18:J20)</f>
        <v>0</v>
      </c>
      <c r="K21" s="794"/>
    </row>
    <row r="22" spans="1:11" ht="13.5" thickTop="1" x14ac:dyDescent="0.2">
      <c r="A22" s="2238" t="s">
        <v>1922</v>
      </c>
      <c r="B22" s="2238"/>
      <c r="C22" s="2238"/>
      <c r="D22" s="2238"/>
      <c r="E22" s="2266"/>
      <c r="F22" s="790" t="s">
        <v>917</v>
      </c>
      <c r="G22" s="783"/>
      <c r="H22" s="765"/>
      <c r="I22" s="765"/>
      <c r="J22" s="798"/>
      <c r="K22" s="766"/>
    </row>
    <row r="23" spans="1:11" ht="13.5" thickBot="1" x14ac:dyDescent="0.25">
      <c r="A23" s="2259" t="s">
        <v>962</v>
      </c>
      <c r="B23" s="2258"/>
      <c r="C23" s="2258"/>
      <c r="D23" s="2258"/>
      <c r="E23" s="2258"/>
      <c r="F23" s="1782"/>
      <c r="G23" s="1779">
        <f>SUM(G14:G16,G21,G22)</f>
        <v>0</v>
      </c>
      <c r="H23" s="1779">
        <f>SUM(H14:H16,H21,H22)</f>
        <v>52708</v>
      </c>
      <c r="I23" s="1779">
        <f>SUM(I14:I16,I21,I22)</f>
        <v>0</v>
      </c>
      <c r="J23" s="1779">
        <f>SUM(J14:J16,J21,J22)</f>
        <v>166110</v>
      </c>
      <c r="K23" s="1779">
        <f>SUM(K14:K16,K21,K22)</f>
        <v>3148</v>
      </c>
    </row>
    <row r="24" spans="1:11" ht="14.25" thickTop="1" thickBot="1" x14ac:dyDescent="0.25">
      <c r="A24" s="2259" t="s">
        <v>2026</v>
      </c>
      <c r="B24" s="2258"/>
      <c r="C24" s="2258"/>
      <c r="D24" s="2258"/>
      <c r="E24" s="2258"/>
      <c r="F24" s="1783"/>
      <c r="G24" s="1784">
        <f>SUM(G3,G12)-G23</f>
        <v>0</v>
      </c>
      <c r="H24" s="1784">
        <f>SUM(H3,H12)-H23</f>
        <v>0</v>
      </c>
      <c r="I24" s="1784">
        <f>SUM(I3,I12)-I23</f>
        <v>0</v>
      </c>
      <c r="J24" s="1784">
        <f>SUM(J3,J12)-J23</f>
        <v>298466</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298466</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8"/>
      <c r="I31" s="2269"/>
      <c r="J31" s="2269"/>
      <c r="K31" s="2269"/>
    </row>
    <row r="32" spans="1:11" x14ac:dyDescent="0.2">
      <c r="A32" s="810"/>
      <c r="B32" s="237"/>
      <c r="C32" s="237"/>
      <c r="D32" s="237"/>
      <c r="E32" s="806"/>
      <c r="F32" s="812" t="s">
        <v>561</v>
      </c>
      <c r="G32" s="765"/>
      <c r="H32" s="2270"/>
      <c r="I32" s="2269"/>
      <c r="J32" s="2269"/>
      <c r="K32" s="2269"/>
    </row>
    <row r="33" spans="1:11" ht="1.5" customHeight="1" x14ac:dyDescent="0.2">
      <c r="A33" s="813" t="s">
        <v>1231</v>
      </c>
      <c r="B33" s="364"/>
      <c r="C33" s="364"/>
      <c r="D33" s="364"/>
      <c r="E33" s="364"/>
      <c r="F33" s="364"/>
      <c r="G33" s="814"/>
      <c r="H33" s="2270"/>
      <c r="I33" s="2269"/>
      <c r="J33" s="2269"/>
      <c r="K33" s="226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39"/>
      <c r="C41" s="2239"/>
      <c r="D41" s="2239"/>
      <c r="E41" s="2239"/>
      <c r="F41" s="224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sheetPr>
  <dimension ref="A1:N27"/>
  <sheetViews>
    <sheetView showGridLines="0" defaultGridColor="0" colorId="8" zoomScale="110" zoomScaleNormal="110" workbookViewId="0">
      <selection activeCell="K16" sqref="K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2035</v>
      </c>
      <c r="B1" s="2278"/>
      <c r="C1" s="2279"/>
      <c r="D1" s="827"/>
      <c r="E1" s="828"/>
      <c r="F1" s="828"/>
      <c r="G1" s="829"/>
      <c r="H1" s="830"/>
      <c r="I1" s="831"/>
      <c r="J1" s="2275"/>
      <c r="K1" s="2276"/>
      <c r="L1" s="227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67197</v>
      </c>
      <c r="D5" s="842"/>
      <c r="E5" s="842"/>
      <c r="F5" s="1781">
        <f>(C5+D5)-E5</f>
        <v>67197</v>
      </c>
      <c r="G5" s="838"/>
      <c r="H5" s="843"/>
      <c r="I5" s="843"/>
      <c r="J5" s="843"/>
      <c r="K5" s="794"/>
      <c r="L5" s="1790">
        <f>F5-K5</f>
        <v>67197</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6059464</v>
      </c>
      <c r="D8" s="845">
        <v>217820</v>
      </c>
      <c r="E8" s="845"/>
      <c r="F8" s="1781">
        <f>(C8+D8)-E8</f>
        <v>6277284</v>
      </c>
      <c r="G8" s="844">
        <v>50</v>
      </c>
      <c r="H8" s="766">
        <v>2755482</v>
      </c>
      <c r="I8" s="766">
        <v>121266</v>
      </c>
      <c r="J8" s="766"/>
      <c r="K8" s="1790">
        <f>(H8+I8)-J8</f>
        <v>2876748</v>
      </c>
      <c r="L8" s="1790">
        <f>F8-K8</f>
        <v>3400536</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26006</v>
      </c>
      <c r="D10" s="847">
        <v>4650</v>
      </c>
      <c r="E10" s="847"/>
      <c r="F10" s="1785">
        <f>(C10+D10)-E10</f>
        <v>30656</v>
      </c>
      <c r="G10" s="844">
        <v>20</v>
      </c>
      <c r="H10" s="848">
        <v>13720</v>
      </c>
      <c r="I10" s="848">
        <v>1079</v>
      </c>
      <c r="J10" s="848"/>
      <c r="K10" s="1790">
        <f>(H10+I10)-J10</f>
        <v>14799</v>
      </c>
      <c r="L10" s="1790">
        <f>F10-K10</f>
        <v>15857</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1538713</v>
      </c>
      <c r="D12" s="845">
        <v>69642</v>
      </c>
      <c r="E12" s="845">
        <v>75011</v>
      </c>
      <c r="F12" s="1781">
        <f>(C12+D12)-E12</f>
        <v>1533344</v>
      </c>
      <c r="G12" s="844">
        <v>10</v>
      </c>
      <c r="H12" s="766">
        <v>801924</v>
      </c>
      <c r="I12" s="766">
        <v>149051</v>
      </c>
      <c r="J12" s="766">
        <v>75011</v>
      </c>
      <c r="K12" s="1790">
        <f>(H12+I12)-J12</f>
        <v>875964</v>
      </c>
      <c r="L12" s="1790">
        <f>F12-K12</f>
        <v>657380</v>
      </c>
    </row>
    <row r="13" spans="1:14" ht="14.25" thickTop="1" thickBot="1" x14ac:dyDescent="0.25">
      <c r="A13" s="849" t="s">
        <v>1184</v>
      </c>
      <c r="B13" s="841">
        <v>252</v>
      </c>
      <c r="C13" s="845">
        <v>641114</v>
      </c>
      <c r="D13" s="845">
        <v>133842</v>
      </c>
      <c r="E13" s="845">
        <v>253118</v>
      </c>
      <c r="F13" s="1781">
        <f>(C13+D13)-E13</f>
        <v>521838</v>
      </c>
      <c r="G13" s="844">
        <v>5</v>
      </c>
      <c r="H13" s="766">
        <v>424017</v>
      </c>
      <c r="I13" s="766">
        <v>89140</v>
      </c>
      <c r="J13" s="766">
        <v>253118</v>
      </c>
      <c r="K13" s="1790">
        <f>(H13+I13)-J13</f>
        <v>260039</v>
      </c>
      <c r="L13" s="1790">
        <f>F13-K13</f>
        <v>261799</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8332494</v>
      </c>
      <c r="D16" s="1781">
        <f>SUM(D3,D5:D6,D8:D10,D12:D15)</f>
        <v>425954</v>
      </c>
      <c r="E16" s="1781">
        <f>SUM(E3,E5:E6,E8:E10,E12:E15)</f>
        <v>328129</v>
      </c>
      <c r="F16" s="1781">
        <f>SUM(F3,F5:F6,F8:F10,F12:F15)</f>
        <v>8430319</v>
      </c>
      <c r="G16" s="844"/>
      <c r="H16" s="1781">
        <f>SUM(H3,H6,H8:H10,H12:H14,)</f>
        <v>3995143</v>
      </c>
      <c r="I16" s="1781">
        <f>SUM(I3,I6,I8:I10,I12:I14,)</f>
        <v>360536</v>
      </c>
      <c r="J16" s="1781">
        <f>SUM(J3,J6,J8:J10,J12:J14,)</f>
        <v>328129</v>
      </c>
      <c r="K16" s="1781">
        <f>(H16+I16)-J16</f>
        <v>4027550</v>
      </c>
      <c r="L16" s="1781">
        <f>F16-K16</f>
        <v>4402769</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360536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sheetPr>
  <dimension ref="A1:H206"/>
  <sheetViews>
    <sheetView showGridLines="0" defaultGridColor="0" colorId="8" zoomScale="110" zoomScaleNormal="110" workbookViewId="0">
      <pane ySplit="5" topLeftCell="A72" activePane="bottomLeft" state="frozen"/>
      <selection activeCell="A47" sqref="A47"/>
      <selection pane="bottomLeft" activeCell="K86" sqref="K8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3472424</v>
      </c>
      <c r="G8" s="866"/>
    </row>
    <row r="9" spans="1:7" x14ac:dyDescent="0.2">
      <c r="A9" s="870" t="s">
        <v>480</v>
      </c>
      <c r="B9" s="871" t="s">
        <v>1989</v>
      </c>
      <c r="C9" s="872"/>
      <c r="D9" s="870" t="s">
        <v>522</v>
      </c>
      <c r="E9" s="869"/>
      <c r="F9" s="1934">
        <f>'Expenditures 15-22'!K151</f>
        <v>438796</v>
      </c>
      <c r="G9" s="873"/>
    </row>
    <row r="10" spans="1:7" x14ac:dyDescent="0.2">
      <c r="A10" s="870" t="s">
        <v>520</v>
      </c>
      <c r="B10" s="871" t="s">
        <v>1990</v>
      </c>
      <c r="C10" s="872"/>
      <c r="D10" s="870" t="s">
        <v>522</v>
      </c>
      <c r="E10" s="869"/>
      <c r="F10" s="1934">
        <f>'Expenditures 15-22'!K174</f>
        <v>0</v>
      </c>
      <c r="G10" s="873"/>
    </row>
    <row r="11" spans="1:7" x14ac:dyDescent="0.2">
      <c r="A11" s="870" t="s">
        <v>481</v>
      </c>
      <c r="B11" s="871" t="s">
        <v>1991</v>
      </c>
      <c r="C11" s="872"/>
      <c r="D11" s="870" t="s">
        <v>522</v>
      </c>
      <c r="E11" s="869"/>
      <c r="F11" s="1934">
        <f>'Expenditures 15-22'!K210</f>
        <v>301586</v>
      </c>
      <c r="G11" s="873"/>
    </row>
    <row r="12" spans="1:7" x14ac:dyDescent="0.2">
      <c r="A12" s="870" t="s">
        <v>482</v>
      </c>
      <c r="B12" s="871" t="s">
        <v>1992</v>
      </c>
      <c r="C12" s="872"/>
      <c r="D12" s="870" t="s">
        <v>522</v>
      </c>
      <c r="E12" s="869"/>
      <c r="F12" s="1934">
        <f>'Expenditures 15-22'!K295</f>
        <v>127378</v>
      </c>
      <c r="G12" s="873"/>
    </row>
    <row r="13" spans="1:7" x14ac:dyDescent="0.2">
      <c r="A13" s="870" t="s">
        <v>108</v>
      </c>
      <c r="B13" s="871" t="s">
        <v>1993</v>
      </c>
      <c r="C13" s="872"/>
      <c r="D13" s="870" t="s">
        <v>522</v>
      </c>
      <c r="E13" s="869"/>
      <c r="F13" s="1934">
        <f>'Expenditures 15-22'!K342</f>
        <v>55761</v>
      </c>
      <c r="G13" s="874"/>
    </row>
    <row r="14" spans="1:7" ht="12" customHeight="1" thickBot="1" x14ac:dyDescent="0.25">
      <c r="A14" s="1791"/>
      <c r="B14" s="1792"/>
      <c r="C14" s="1793"/>
      <c r="D14" s="1794" t="s">
        <v>522</v>
      </c>
      <c r="E14" s="1795" t="s">
        <v>1015</v>
      </c>
      <c r="F14" s="1796">
        <f>SUM(F8:F13)</f>
        <v>4395945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55268</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70383</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3742</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92896</v>
      </c>
      <c r="G53" s="866"/>
    </row>
    <row r="54" spans="1:7" x14ac:dyDescent="0.2">
      <c r="A54" s="870" t="s">
        <v>479</v>
      </c>
      <c r="B54" s="870" t="s">
        <v>1552</v>
      </c>
      <c r="C54" s="890" t="s">
        <v>1039</v>
      </c>
      <c r="D54" s="886" t="s">
        <v>1157</v>
      </c>
      <c r="E54" s="869"/>
      <c r="F54" s="1938">
        <f>'Expenditures 15-22'!G114</f>
        <v>129234</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9699</v>
      </c>
      <c r="G57" s="866"/>
    </row>
    <row r="58" spans="1:7" x14ac:dyDescent="0.2">
      <c r="A58" s="870" t="s">
        <v>480</v>
      </c>
      <c r="B58" s="870" t="s">
        <v>1995</v>
      </c>
      <c r="C58" s="887" t="s">
        <v>1039</v>
      </c>
      <c r="D58" s="886" t="s">
        <v>1157</v>
      </c>
      <c r="E58" s="869"/>
      <c r="F58" s="1940">
        <f>'Expenditures 15-22'!G151</f>
        <v>63325</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98379</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3203</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368</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110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526607</v>
      </c>
      <c r="G76" s="866"/>
    </row>
    <row r="77" spans="1:8" s="894" customFormat="1" ht="12" customHeight="1" thickTop="1" thickBot="1" x14ac:dyDescent="0.25">
      <c r="A77" s="1800"/>
      <c r="B77" s="1797"/>
      <c r="C77" s="1793"/>
      <c r="D77" s="1798" t="s">
        <v>2012</v>
      </c>
      <c r="E77" s="1795"/>
      <c r="F77" s="1801">
        <f>(F14-F76)</f>
        <v>3869338</v>
      </c>
      <c r="G77" s="870"/>
    </row>
    <row r="78" spans="1:8" s="894" customFormat="1" ht="12" customHeight="1" thickTop="1" x14ac:dyDescent="0.2">
      <c r="A78" s="1802"/>
      <c r="B78" s="1797"/>
      <c r="C78" s="1793"/>
      <c r="D78" s="1798" t="s">
        <v>2059</v>
      </c>
      <c r="E78" s="1795"/>
      <c r="F78" s="899">
        <v>229.33</v>
      </c>
      <c r="G78" s="900"/>
      <c r="H78" s="870"/>
    </row>
    <row r="79" spans="1:8" s="894" customFormat="1" ht="12" customHeight="1" thickBot="1" x14ac:dyDescent="0.25">
      <c r="A79" s="1803"/>
      <c r="B79" s="1797"/>
      <c r="C79" s="1793"/>
      <c r="D79" s="1798" t="s">
        <v>2013</v>
      </c>
      <c r="E79" s="1795" t="s">
        <v>1015</v>
      </c>
      <c r="F79" s="1804">
        <f>IF(F78&gt;0,F77/F78," Complete Line 78")</f>
        <v>16872.358609863513</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60066</v>
      </c>
      <c r="G94" s="913"/>
    </row>
    <row r="95" spans="1:7" x14ac:dyDescent="0.2">
      <c r="A95" s="909" t="s">
        <v>142</v>
      </c>
      <c r="B95" s="909" t="s">
        <v>177</v>
      </c>
      <c r="C95" s="911">
        <v>1700</v>
      </c>
      <c r="D95" s="919" t="str">
        <f>'Revenues 9-14'!A82</f>
        <v>Total District/School Activity Income</v>
      </c>
      <c r="E95" s="907"/>
      <c r="F95" s="1810">
        <f>SUM('Revenues 9-14'!C82,'Revenues 9-14'!D82)</f>
        <v>13897</v>
      </c>
      <c r="G95" s="913"/>
    </row>
    <row r="96" spans="1:7" x14ac:dyDescent="0.2">
      <c r="A96" s="909" t="s">
        <v>479</v>
      </c>
      <c r="B96" s="909" t="s">
        <v>178</v>
      </c>
      <c r="C96" s="911">
        <f>'Revenues 9-14'!B84</f>
        <v>1811</v>
      </c>
      <c r="D96" s="912" t="str">
        <f>'Revenues 9-14'!A84</f>
        <v>Rentals - Regular Textbooks</v>
      </c>
      <c r="E96" s="907"/>
      <c r="F96" s="1810">
        <f>'Revenues 9-14'!C84</f>
        <v>9903</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100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150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309</v>
      </c>
      <c r="G104" s="913"/>
    </row>
    <row r="105" spans="1:7" x14ac:dyDescent="0.2">
      <c r="A105" s="909" t="s">
        <v>524</v>
      </c>
      <c r="B105" s="909" t="s">
        <v>842</v>
      </c>
      <c r="C105" s="914">
        <v>3100</v>
      </c>
      <c r="D105" s="920" t="str">
        <f>'Revenues 9-14'!A131</f>
        <v>Total Special Education</v>
      </c>
      <c r="E105" s="907"/>
      <c r="F105" s="1810">
        <f>SUM('Revenues 9-14'!C131:D131,'Revenues 9-14'!F131)</f>
        <v>55103</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14305</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396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2498</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89643</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1500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25700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40694</v>
      </c>
      <c r="G129" s="931"/>
    </row>
    <row r="130" spans="1:7" x14ac:dyDescent="0.2">
      <c r="A130" s="928" t="s">
        <v>689</v>
      </c>
      <c r="B130" s="928" t="s">
        <v>804</v>
      </c>
      <c r="C130" s="933">
        <v>4300</v>
      </c>
      <c r="D130" s="934" t="str">
        <f>'Revenues 9-14'!A211</f>
        <v>Total Title I</v>
      </c>
      <c r="E130" s="907"/>
      <c r="F130" s="1810">
        <f>SUM('Revenues 9-14'!C211,'Revenues 9-14'!D211,'Revenues 9-14'!F211,'Revenues 9-14'!G211)</f>
        <v>43019</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32408</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6305</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7082</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2252</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405330</v>
      </c>
    </row>
    <row r="179" spans="1:7" ht="12" customHeight="1" x14ac:dyDescent="0.2">
      <c r="A179" s="1791"/>
      <c r="B179" s="1805"/>
      <c r="C179" s="1806"/>
      <c r="D179" s="1807" t="s">
        <v>2015</v>
      </c>
      <c r="E179" s="1808"/>
      <c r="F179" s="1810">
        <f>'PCTC-OEPP 27-28'!F77-F178</f>
        <v>3464008</v>
      </c>
    </row>
    <row r="180" spans="1:7" ht="12" customHeight="1" x14ac:dyDescent="0.2">
      <c r="A180" s="1791"/>
      <c r="B180" s="1805"/>
      <c r="C180" s="1806"/>
      <c r="D180" s="1807" t="s">
        <v>1924</v>
      </c>
      <c r="E180" s="1808"/>
      <c r="F180" s="1810">
        <f>'Cap Outlay Deprec 26'!I18</f>
        <v>360536</v>
      </c>
    </row>
    <row r="181" spans="1:7" ht="12" customHeight="1" x14ac:dyDescent="0.2">
      <c r="A181" s="1791"/>
      <c r="B181" s="1805"/>
      <c r="C181" s="1806"/>
      <c r="D181" s="1807" t="s">
        <v>2016</v>
      </c>
      <c r="E181" s="1808"/>
      <c r="F181" s="1810">
        <f>F179+F180</f>
        <v>3824544</v>
      </c>
    </row>
    <row r="182" spans="1:7" ht="12" customHeight="1" x14ac:dyDescent="0.2">
      <c r="A182" s="1791"/>
      <c r="B182" s="1811"/>
      <c r="C182" s="1806"/>
      <c r="D182" s="1807" t="str">
        <f>D78</f>
        <v>9 Month ADA from District Average Daily Attendance/Prior General State Aid Inquiry 2017-2018</v>
      </c>
      <c r="E182" s="1808"/>
      <c r="F182" s="1812">
        <f>'PCTC-OEPP 27-28'!F78</f>
        <v>229.33</v>
      </c>
      <c r="G182" s="931"/>
    </row>
    <row r="183" spans="1:7" ht="12" customHeight="1" thickBot="1" x14ac:dyDescent="0.25">
      <c r="A183" s="1791"/>
      <c r="B183" s="1811"/>
      <c r="C183" s="1806"/>
      <c r="D183" s="1807" t="s">
        <v>2017</v>
      </c>
      <c r="E183" s="1808" t="s">
        <v>1626</v>
      </c>
      <c r="F183" s="1813">
        <f>F181/F182</f>
        <v>16677.033096411284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41"/>
  <sheetViews>
    <sheetView showGridLines="0" workbookViewId="0">
      <pane ySplit="16" topLeftCell="A17" activePane="bottomLeft" state="frozen"/>
      <selection pane="bottomLeft" activeCell="D18" sqref="D18"/>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4" t="s">
        <v>1925</v>
      </c>
      <c r="B4" s="2295"/>
      <c r="C4" s="2295"/>
      <c r="D4" s="2295"/>
      <c r="E4" s="2295"/>
      <c r="F4" s="2295"/>
      <c r="G4" s="2296"/>
    </row>
    <row r="5" spans="1:7" x14ac:dyDescent="0.25">
      <c r="A5" s="2297"/>
      <c r="B5" s="2298"/>
      <c r="C5" s="2298"/>
      <c r="D5" s="2298"/>
      <c r="E5" s="2298"/>
      <c r="F5" s="2298"/>
      <c r="G5" s="2299"/>
    </row>
    <row r="6" spans="1:7" ht="18.75" x14ac:dyDescent="0.25">
      <c r="A6" s="1555" t="s">
        <v>1926</v>
      </c>
      <c r="B6" s="1556"/>
      <c r="C6" s="1556"/>
      <c r="D6" s="1556"/>
      <c r="E6" s="1556"/>
      <c r="F6" s="1556"/>
      <c r="G6" s="1557"/>
    </row>
    <row r="7" spans="1:7" ht="30.75" customHeight="1" x14ac:dyDescent="0.25">
      <c r="A7" s="2300" t="s">
        <v>2075</v>
      </c>
      <c r="B7" s="2301"/>
      <c r="C7" s="2301"/>
      <c r="D7" s="2301"/>
      <c r="E7" s="2301"/>
      <c r="F7" s="2301"/>
      <c r="G7" s="2302"/>
    </row>
    <row r="8" spans="1:7" ht="15.75" customHeight="1" x14ac:dyDescent="0.25">
      <c r="A8" s="2303" t="s">
        <v>2024</v>
      </c>
      <c r="B8" s="2304"/>
      <c r="C8" s="2304"/>
      <c r="D8" s="2304"/>
      <c r="E8" s="2304"/>
      <c r="F8" s="2304"/>
      <c r="G8" s="2305"/>
    </row>
    <row r="9" spans="1:7" ht="35.25" customHeight="1" x14ac:dyDescent="0.25">
      <c r="A9" s="2300" t="s">
        <v>2023</v>
      </c>
      <c r="B9" s="2301"/>
      <c r="C9" s="2301"/>
      <c r="D9" s="2301"/>
      <c r="E9" s="2301"/>
      <c r="F9" s="2301"/>
      <c r="G9" s="2302"/>
    </row>
    <row r="10" spans="1:7" ht="15" customHeight="1" x14ac:dyDescent="0.25">
      <c r="A10" s="1558" t="s">
        <v>1927</v>
      </c>
      <c r="B10" s="1559"/>
      <c r="C10" s="1559"/>
      <c r="D10" s="1559"/>
      <c r="E10" s="1559"/>
      <c r="F10" s="1559"/>
      <c r="G10" s="1560"/>
    </row>
    <row r="11" spans="1:7" ht="17.25" customHeight="1" x14ac:dyDescent="0.25">
      <c r="A11" s="2300" t="s">
        <v>1941</v>
      </c>
      <c r="B11" s="2301"/>
      <c r="C11" s="2301"/>
      <c r="D11" s="2301"/>
      <c r="E11" s="2301"/>
      <c r="F11" s="2301"/>
      <c r="G11" s="2302"/>
    </row>
    <row r="12" spans="1:7" ht="15" customHeight="1" x14ac:dyDescent="0.25">
      <c r="A12" s="1558" t="s">
        <v>1932</v>
      </c>
      <c r="B12" s="1559"/>
      <c r="C12" s="1559"/>
      <c r="D12" s="1559"/>
      <c r="E12" s="1559"/>
      <c r="F12" s="1559"/>
      <c r="G12" s="1560"/>
    </row>
    <row r="13" spans="1:7" ht="32.25" customHeight="1" x14ac:dyDescent="0.25">
      <c r="A13" s="2291" t="s">
        <v>1933</v>
      </c>
      <c r="B13" s="2292"/>
      <c r="C13" s="2292"/>
      <c r="D13" s="2292"/>
      <c r="E13" s="2292"/>
      <c r="F13" s="2292"/>
      <c r="G13" s="2293"/>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1" t="s">
        <v>2111</v>
      </c>
      <c r="B17" s="1955" t="s">
        <v>2097</v>
      </c>
      <c r="C17" s="1956" t="s">
        <v>2098</v>
      </c>
      <c r="D17" s="1866">
        <v>55716</v>
      </c>
      <c r="E17" s="1561">
        <f t="shared" ref="E17:E141" si="1">IF(D17&lt;=25000,D17,IF(D17&gt;25000,25000,0))</f>
        <v>25000</v>
      </c>
      <c r="F17" s="1814">
        <f t="shared" si="0"/>
        <v>25000</v>
      </c>
      <c r="G17" s="1815">
        <f>IF(F17=0,0,D17-F17)</f>
        <v>30716</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55716</v>
      </c>
      <c r="E141" s="1562">
        <f t="shared" si="1"/>
        <v>25000</v>
      </c>
      <c r="F141" s="1816">
        <f>SUM(F17:F140)</f>
        <v>25000</v>
      </c>
      <c r="G141" s="1817">
        <f>SUM(G17:G140)</f>
        <v>30716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sheetPr>
  <dimension ref="A1:I46"/>
  <sheetViews>
    <sheetView showGridLines="0" defaultGridColor="0" colorId="8" zoomScale="110" zoomScaleNormal="110" workbookViewId="0">
      <selection activeCell="K19" sqref="K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35279</v>
      </c>
      <c r="F10" s="975"/>
      <c r="G10" s="976"/>
      <c r="H10" s="162"/>
      <c r="I10" s="162"/>
    </row>
    <row r="11" spans="1:9" s="669" customFormat="1" ht="22.5" customHeight="1" x14ac:dyDescent="0.2">
      <c r="A11" s="2311" t="s">
        <v>1945</v>
      </c>
      <c r="B11" s="2312"/>
      <c r="C11" s="2312"/>
      <c r="D11" s="2313"/>
      <c r="E11" s="978">
        <v>9552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2476678</v>
      </c>
      <c r="F19" s="1821"/>
      <c r="G19" s="1823">
        <f>'Expenditures 15-22'!K33-SUM('Expenditures 15-22'!G33,'Expenditures 15-22'!I33)+'Expenditures 15-22'!D229</f>
        <v>2476678</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145379</v>
      </c>
      <c r="F21" s="1824"/>
      <c r="G21" s="1827">
        <f>'Expenditures 15-22'!K42-SUM('Expenditures 15-22'!G42,'Expenditures 15-22'!I42)+'Expenditures 15-22'!K120-SUM('Expenditures 15-22'!G120,'Expenditures 15-22'!I120)+'Expenditures 15-22'!K180-SUM('Expenditures 15-22'!G180,'Expenditures 15-22'!I180)+'Expenditures 15-22'!D238</f>
        <v>145379</v>
      </c>
      <c r="H21" s="988"/>
      <c r="I21" s="162"/>
    </row>
    <row r="22" spans="1:9" s="669" customFormat="1" ht="12" customHeight="1" x14ac:dyDescent="0.2">
      <c r="A22" s="995" t="s">
        <v>585</v>
      </c>
      <c r="B22" s="996"/>
      <c r="C22" s="994">
        <v>2200</v>
      </c>
      <c r="D22" s="1824"/>
      <c r="E22" s="1826">
        <f>'Expenditures 15-22'!K47-SUM('Expenditures 15-22'!G47,'Expenditures 15-22'!I47)+'Expenditures 15-22'!D243</f>
        <v>118534</v>
      </c>
      <c r="F22" s="1824"/>
      <c r="G22" s="1827">
        <f>'Expenditures 15-22'!K47-SUM('Expenditures 15-22'!G47,'Expenditures 15-22'!I47)+'Expenditures 15-22'!D243</f>
        <v>118534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220586</v>
      </c>
      <c r="F23" s="1824"/>
      <c r="G23" s="1826">
        <f>'Expenditures 15-22'!K53-SUM('Expenditures 15-22'!G53,'Expenditures 15-22'!I53)+'Expenditures 15-22'!D257+'Expenditures 15-22'!K330-SUM('Expenditures 15-22'!G330,'Expenditures 15-22'!I330)</f>
        <v>220586</v>
      </c>
      <c r="H23" s="988"/>
      <c r="I23" s="162"/>
    </row>
    <row r="24" spans="1:9" s="669" customFormat="1" ht="12" customHeight="1" x14ac:dyDescent="0.2">
      <c r="A24" s="995" t="s">
        <v>587</v>
      </c>
      <c r="B24" s="996"/>
      <c r="C24" s="994">
        <v>2400</v>
      </c>
      <c r="D24" s="1824"/>
      <c r="E24" s="1826">
        <f>'Expenditures 15-22'!K57-SUM('Expenditures 15-22'!G57,'Expenditures 15-22'!I57)+'Expenditures 15-22'!D261</f>
        <v>192390</v>
      </c>
      <c r="F24" s="1824"/>
      <c r="G24" s="1827">
        <f>'Expenditures 15-22'!K57-SUM('Expenditures 15-22'!G57,'Expenditures 15-22'!I57)+'Expenditures 15-22'!D261</f>
        <v>192390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67626</v>
      </c>
      <c r="E27" s="1826">
        <f>E8</f>
        <v>0</v>
      </c>
      <c r="F27" s="1826">
        <f>'Expenditures 15-22'!K60-SUM('Expenditures 15-22'!G60,'Expenditures 15-22'!I60)+'Expenditures 15-22'!D264-E8</f>
        <v>67626</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394785</v>
      </c>
      <c r="F28" s="1828">
        <f>'Expenditures 15-22'!K61-SUM('Expenditures 15-22'!G61,'Expenditures 15-22'!I61)+'Expenditures 15-22'!K124-SUM('Expenditures 15-22'!G124,'Expenditures 15-22'!I124)+'Expenditures 15-22'!D266-E9</f>
        <v>394785</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221761</v>
      </c>
      <c r="F29" s="1824"/>
      <c r="G29" s="1827">
        <f>'Expenditures 15-22'!K62-SUM('Expenditures 15-22'!G62,'Expenditures 15-22'!I62)+'Expenditures 15-22'!K125-SUM('Expenditures 15-22'!G125,'Expenditures 15-22'!I125)+'Expenditures 15-22'!K182-SUM('Expenditures 15-22'!G182,'Expenditures 15-22'!I182)+'Expenditures 15-22'!D267</f>
        <v>221761</v>
      </c>
      <c r="H29" s="986"/>
    </row>
    <row r="30" spans="1:9" ht="12" customHeight="1" x14ac:dyDescent="0.2">
      <c r="A30" s="995" t="s">
        <v>102</v>
      </c>
      <c r="B30" s="998"/>
      <c r="C30" s="994">
        <v>2560</v>
      </c>
      <c r="D30" s="1824"/>
      <c r="E30" s="1826">
        <f>'Expenditures 15-22'!K63-SUM('Expenditures 15-22'!G63,'Expenditures 15-22'!I63)+'Expenditures 15-22'!D268-E10</f>
        <v>100053</v>
      </c>
      <c r="F30" s="1824"/>
      <c r="G30" s="1826">
        <f>'Expenditures 15-22'!K63-SUM('Expenditures 15-22'!G63,'Expenditures 15-22'!I63)+'Expenditures 15-22'!D268-E10</f>
        <v>100053</v>
      </c>
    </row>
    <row r="31" spans="1:9" ht="12" customHeight="1" x14ac:dyDescent="0.2">
      <c r="A31" s="995" t="s">
        <v>103</v>
      </c>
      <c r="B31" s="998"/>
      <c r="C31" s="994">
        <v>2570</v>
      </c>
      <c r="D31" s="1826">
        <f>'Expenditures 15-22'!K64-SUM('Expenditures 15-22'!G64,'Expenditures 15-22'!I64)+'Expenditures 15-22'!D269-E12</f>
        <v>29341</v>
      </c>
      <c r="E31" s="1826">
        <f>E12</f>
        <v>0</v>
      </c>
      <c r="F31" s="1826">
        <f>'Expenditures 15-22'!K64-SUM('Expenditures 15-22'!G64,'Expenditures 15-22'!I64)+'Expenditures 15-22'!D269-E12</f>
        <v>29341</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-30716</v>
      </c>
      <c r="F40" s="1824"/>
      <c r="G40" s="1828">
        <f>-'Contracts Paid in CY 29'!G141</f>
        <v>-30716</v>
      </c>
    </row>
    <row r="41" spans="1:7" ht="12" customHeight="1" x14ac:dyDescent="0.2">
      <c r="A41" s="999" t="s">
        <v>158</v>
      </c>
      <c r="B41" s="1000"/>
      <c r="C41" s="1001"/>
      <c r="D41" s="1828">
        <f>SUM(D19:D39)</f>
        <v>96967</v>
      </c>
      <c r="E41" s="1828">
        <f>SUM(E19:E40)</f>
        <v>3839450</v>
      </c>
      <c r="F41" s="1828">
        <f>SUM(F19:F39)</f>
        <v>491752</v>
      </c>
      <c r="G41" s="1828">
        <f>SUM(G19:G40)</f>
        <v>3444665</v>
      </c>
    </row>
    <row r="42" spans="1:7" x14ac:dyDescent="0.2">
      <c r="A42" s="988"/>
      <c r="B42" s="162"/>
      <c r="C42" s="1002"/>
      <c r="D42" s="2309" t="s">
        <v>543</v>
      </c>
      <c r="E42" s="2310"/>
      <c r="F42" s="1003" t="s">
        <v>544</v>
      </c>
      <c r="G42" s="1004"/>
    </row>
    <row r="43" spans="1:7" ht="12" customHeight="1" x14ac:dyDescent="0.2">
      <c r="A43" s="988"/>
      <c r="B43" s="162"/>
      <c r="C43" s="1002"/>
      <c r="D43" s="1829" t="s">
        <v>493</v>
      </c>
      <c r="E43" s="1830">
        <f>D41</f>
        <v>96967</v>
      </c>
      <c r="F43" s="1829" t="s">
        <v>495</v>
      </c>
      <c r="G43" s="1830">
        <f>F41</f>
        <v>491752</v>
      </c>
    </row>
    <row r="44" spans="1:7" ht="12" customHeight="1" x14ac:dyDescent="0.2">
      <c r="A44" s="988"/>
      <c r="B44" s="162"/>
      <c r="C44" s="1002"/>
      <c r="D44" s="1829" t="s">
        <v>494</v>
      </c>
      <c r="E44" s="1830">
        <f>E41</f>
        <v>3839450</v>
      </c>
      <c r="F44" s="1829" t="s">
        <v>494</v>
      </c>
      <c r="G44" s="1830">
        <f>G41</f>
        <v>3444665</v>
      </c>
    </row>
    <row r="45" spans="1:7" ht="12" customHeight="1" x14ac:dyDescent="0.2">
      <c r="A45" s="988"/>
      <c r="B45" s="162"/>
      <c r="C45" s="162"/>
      <c r="D45" s="1831" t="s">
        <v>1063</v>
      </c>
      <c r="E45" s="1832">
        <f>(E43/E44)</f>
        <v>2.5255440232324941E-2</v>
      </c>
      <c r="F45" s="1831" t="s">
        <v>1063</v>
      </c>
      <c r="G45" s="1832">
        <f>(G43/G44)</f>
        <v>0.14275756858794686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L97"/>
  <sheetViews>
    <sheetView showGridLines="0" zoomScale="110" zoomScaleNormal="110" workbookViewId="0">
      <pane ySplit="4" topLeftCell="A5" activePane="bottomLeft" state="frozen"/>
      <selection activeCell="A47" sqref="A47"/>
      <selection pane="bottomLeft" activeCell="J22" sqref="J22"/>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7" t="s">
        <v>1446</v>
      </c>
      <c r="B1" s="2317"/>
      <c r="C1" s="2317"/>
      <c r="D1" s="2317"/>
      <c r="E1" s="2317"/>
      <c r="F1" s="2317"/>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8" t="s">
        <v>1627</v>
      </c>
      <c r="B5" s="2319"/>
      <c r="C5" s="2320"/>
      <c r="D5" s="2320"/>
      <c r="E5" s="2320"/>
      <c r="F5" s="2320"/>
    </row>
    <row r="6" spans="1:10" ht="12" customHeight="1" x14ac:dyDescent="0.25">
      <c r="A6" s="1874"/>
      <c r="B6" s="1875"/>
      <c r="C6" s="2321" t="str">
        <f>COVER!A17</f>
        <v>Scales Mound CUSD 211</v>
      </c>
      <c r="D6" s="2321"/>
      <c r="E6" s="2321"/>
      <c r="F6" s="1876"/>
    </row>
    <row r="7" spans="1:10" ht="11.25" customHeight="1" thickBot="1" x14ac:dyDescent="0.3">
      <c r="A7" s="1874"/>
      <c r="B7" s="1875"/>
      <c r="C7" s="2322">
        <f>COVER!A13</f>
        <v>8043211026</v>
      </c>
      <c r="D7" s="2322"/>
      <c r="E7" s="2322"/>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2087</v>
      </c>
      <c r="D26" s="1889" t="s">
        <v>2087</v>
      </c>
      <c r="E26" s="1892" t="s">
        <v>2087</v>
      </c>
      <c r="F26" s="1891" t="s">
        <v>2099</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2087</v>
      </c>
      <c r="D31" s="1889" t="s">
        <v>2087</v>
      </c>
      <c r="E31" s="1892" t="s">
        <v>2087</v>
      </c>
      <c r="F31" s="1891" t="s">
        <v>2101</v>
      </c>
      <c r="H31" s="1902">
        <f t="shared" si="0"/>
        <v>5</v>
      </c>
      <c r="I31" s="1902">
        <f t="shared" si="1"/>
        <v>5</v>
      </c>
      <c r="J31" s="1902">
        <f t="shared" si="2"/>
        <v>5</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t="s">
        <v>2087</v>
      </c>
      <c r="D33" s="1889"/>
      <c r="E33" s="1892"/>
      <c r="F33" s="1891" t="s">
        <v>2100</v>
      </c>
      <c r="H33" s="1902">
        <f t="shared" si="0"/>
        <v>5</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10</v>
      </c>
      <c r="K34" s="1902">
        <f>SUM(H34:J34)</f>
        <v>30</v>
      </c>
    </row>
    <row r="35" spans="1:11" ht="12" customHeight="1" x14ac:dyDescent="0.2">
      <c r="A35" s="1895" t="s">
        <v>1459</v>
      </c>
      <c r="B35" s="1896"/>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97"/>
      <c r="B39" s="1897"/>
      <c r="C39" s="1897"/>
      <c r="D39" s="1897"/>
      <c r="E39" s="1897"/>
      <c r="F39" s="1897"/>
    </row>
    <row r="40" spans="1:11" s="1894" customFormat="1" ht="12" customHeight="1" x14ac:dyDescent="0.25">
      <c r="A40" s="1898" t="s">
        <v>1458</v>
      </c>
      <c r="B40" s="1899"/>
      <c r="C40" s="2331"/>
      <c r="D40" s="2331"/>
      <c r="E40" s="2331"/>
      <c r="F40" s="2332"/>
      <c r="H40" s="1903"/>
      <c r="I40" s="1903"/>
      <c r="J40" s="1903"/>
      <c r="K40" s="1903"/>
    </row>
    <row r="41" spans="1:11" s="1894" customFormat="1" ht="12" customHeight="1" x14ac:dyDescent="0.25">
      <c r="A41" s="2333"/>
      <c r="B41" s="2334"/>
      <c r="C41" s="2334"/>
      <c r="D41" s="2334"/>
      <c r="E41" s="2334"/>
      <c r="F41" s="2335"/>
      <c r="H41" s="1903"/>
      <c r="I41" s="1903"/>
      <c r="J41" s="1903"/>
      <c r="K41" s="1903"/>
    </row>
    <row r="42" spans="1:11" s="1894" customFormat="1" ht="12" customHeight="1" x14ac:dyDescent="0.25">
      <c r="A42" s="2333"/>
      <c r="B42" s="2334"/>
      <c r="C42" s="2334"/>
      <c r="D42" s="2334"/>
      <c r="E42" s="2334"/>
      <c r="F42" s="2335"/>
      <c r="H42" s="1903"/>
      <c r="I42" s="1903"/>
      <c r="J42" s="1903"/>
      <c r="K42" s="1903"/>
    </row>
    <row r="43" spans="1:11" s="1894" customFormat="1" ht="15" x14ac:dyDescent="0.25">
      <c r="A43" s="2325"/>
      <c r="B43" s="2326"/>
      <c r="C43" s="2326"/>
      <c r="D43" s="2326"/>
      <c r="E43" s="2326"/>
      <c r="F43" s="2327"/>
      <c r="H43" s="1903"/>
      <c r="I43" s="1903"/>
      <c r="J43" s="1903"/>
      <c r="K43" s="1903"/>
    </row>
    <row r="44" spans="1:11" s="1894" customFormat="1" ht="12" hidden="1" customHeight="1" x14ac:dyDescent="0.25">
      <c r="A44" s="2325"/>
      <c r="B44" s="2326"/>
      <c r="C44" s="2326"/>
      <c r="D44" s="2326"/>
      <c r="E44" s="2326"/>
      <c r="F44" s="2327"/>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sheetPr>
  <dimension ref="A1:Q40"/>
  <sheetViews>
    <sheetView showGridLines="0" defaultGridColor="0" colorId="8" zoomScale="110" zoomScaleNormal="110" workbookViewId="0">
      <selection activeCell="N21" sqref="N2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1" t="str">
        <f>COVER!A17</f>
        <v>Scales Mound CUSD 211</v>
      </c>
      <c r="J6" s="2342"/>
      <c r="Q6" s="1685"/>
    </row>
    <row r="7" spans="1:17" x14ac:dyDescent="0.2">
      <c r="A7" s="2343" t="s">
        <v>924</v>
      </c>
      <c r="B7" s="2344"/>
      <c r="C7" s="2344"/>
      <c r="D7" s="2344"/>
      <c r="E7" s="2345"/>
      <c r="F7" s="1018"/>
      <c r="G7" s="1010"/>
      <c r="H7" s="1017" t="s">
        <v>390</v>
      </c>
      <c r="I7" s="2346">
        <f>COVER!A13</f>
        <v>8043211026</v>
      </c>
      <c r="J7" s="2346"/>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119916</v>
      </c>
      <c r="F12" s="1040"/>
      <c r="G12" s="1833">
        <f t="shared" ref="G12:G18" si="0">SUM(E12:F12)</f>
        <v>119916</v>
      </c>
      <c r="H12" s="1041">
        <v>125880</v>
      </c>
      <c r="I12" s="1040"/>
      <c r="J12" s="1833">
        <f t="shared" ref="J12:J18" si="1">SUM(H12:I12)</f>
        <v>125880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60282</v>
      </c>
      <c r="F16" s="1040"/>
      <c r="G16" s="1833">
        <f t="shared" si="0"/>
        <v>60282</v>
      </c>
      <c r="H16" s="1041">
        <v>60300</v>
      </c>
      <c r="I16" s="1040"/>
      <c r="J16" s="1833">
        <f t="shared" si="1"/>
        <v>60300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0" t="s">
        <v>7</v>
      </c>
      <c r="C18" s="2351"/>
      <c r="D18" s="2352"/>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180198</v>
      </c>
      <c r="F19" s="1835">
        <f t="shared" si="2"/>
        <v>0</v>
      </c>
      <c r="G19" s="1835">
        <f t="shared" si="2"/>
        <v>180198</v>
      </c>
      <c r="H19" s="1835">
        <f t="shared" si="2"/>
        <v>186180</v>
      </c>
      <c r="I19" s="1835">
        <f t="shared" si="2"/>
        <v>0</v>
      </c>
      <c r="J19" s="1835">
        <f t="shared" si="2"/>
        <v>186180</v>
      </c>
    </row>
    <row r="20" spans="1:10" ht="13.5" thickTop="1" x14ac:dyDescent="0.2">
      <c r="A20" s="1036">
        <v>9</v>
      </c>
      <c r="B20" s="2353" t="s">
        <v>1703</v>
      </c>
      <c r="C20" s="2353"/>
      <c r="D20" s="2354"/>
      <c r="E20" s="1047"/>
      <c r="F20" s="1047"/>
      <c r="G20" s="1047"/>
      <c r="H20" s="1047"/>
      <c r="I20" s="1047"/>
      <c r="J20" s="1836">
        <f>IF(AND(G19&gt;0,J19&gt;0),(((J19-G19)/G19)),"Enter Budget Data")</f>
        <v>3.3196816834815034E-2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1944</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sheetPr>
  <dimension ref="A2:G64"/>
  <sheetViews>
    <sheetView showGridLines="0" topLeftCell="A4" zoomScale="110" zoomScaleNormal="110" workbookViewId="0">
      <selection activeCell="C48" sqref="C48"/>
    </sheetView>
  </sheetViews>
  <sheetFormatPr defaultRowHeight="12.75" x14ac:dyDescent="0.2"/>
  <cols>
    <col min="1" max="1" width="3" style="329" customWidth="1"/>
    <col min="2" max="2" width="11" style="1962" customWidth="1"/>
    <col min="3" max="3" width="11.140625" style="1962" customWidth="1"/>
    <col min="4" max="4" width="13.42578125" style="1962" customWidth="1"/>
    <col min="5" max="5" width="12.7109375" style="1962" customWidth="1"/>
    <col min="6" max="6" width="23.5703125" style="329" customWidth="1"/>
    <col min="7" max="7" width="9" style="329" customWidth="1"/>
    <col min="8" max="16384" width="9.140625" style="329"/>
  </cols>
  <sheetData>
    <row r="2" spans="1:7" x14ac:dyDescent="0.2">
      <c r="A2" s="389" t="s">
        <v>276</v>
      </c>
    </row>
    <row r="3" spans="1:7" x14ac:dyDescent="0.2">
      <c r="A3" s="329" t="s">
        <v>277</v>
      </c>
    </row>
    <row r="5" spans="1:7" s="1958" customFormat="1" x14ac:dyDescent="0.2">
      <c r="A5" s="1957"/>
      <c r="B5" s="1963" t="s">
        <v>2102</v>
      </c>
      <c r="C5" s="1963" t="s">
        <v>2103</v>
      </c>
      <c r="D5" s="1963" t="s">
        <v>2104</v>
      </c>
      <c r="E5" s="1963" t="s">
        <v>2105</v>
      </c>
      <c r="F5" s="1959" t="s">
        <v>2106</v>
      </c>
      <c r="G5" s="1963" t="s">
        <v>2113</v>
      </c>
    </row>
    <row r="6" spans="1:7" s="1958" customFormat="1" x14ac:dyDescent="0.2">
      <c r="A6" s="1957"/>
      <c r="B6" s="1963"/>
      <c r="C6" s="1963"/>
      <c r="D6" s="1963"/>
      <c r="E6" s="1963"/>
      <c r="F6" s="1959"/>
      <c r="G6" s="1963"/>
    </row>
    <row r="7" spans="1:7" ht="13.5" thickBot="1" x14ac:dyDescent="0.25">
      <c r="A7" s="1069"/>
      <c r="B7" s="1962">
        <v>1690</v>
      </c>
      <c r="C7" s="1962">
        <v>10</v>
      </c>
      <c r="D7" s="1962">
        <v>10</v>
      </c>
      <c r="E7" s="1962">
        <v>74</v>
      </c>
      <c r="F7" s="391" t="s">
        <v>2107</v>
      </c>
      <c r="G7" s="1960">
        <v>81</v>
      </c>
    </row>
    <row r="8" spans="1:7" ht="13.5" thickTop="1" x14ac:dyDescent="0.2">
      <c r="A8" s="1069"/>
      <c r="F8" s="391"/>
      <c r="G8" s="391"/>
    </row>
    <row r="9" spans="1:7" ht="13.5" thickBot="1" x14ac:dyDescent="0.25">
      <c r="A9" s="1069"/>
      <c r="B9" s="1962">
        <v>1829</v>
      </c>
      <c r="C9" s="1962">
        <v>10</v>
      </c>
      <c r="D9" s="1962">
        <v>10</v>
      </c>
      <c r="E9" s="1962">
        <v>91</v>
      </c>
      <c r="F9" s="391" t="s">
        <v>2109</v>
      </c>
      <c r="G9" s="1960">
        <v>100</v>
      </c>
    </row>
    <row r="10" spans="1:7" ht="13.5" thickTop="1" x14ac:dyDescent="0.2">
      <c r="A10" s="1070"/>
      <c r="F10" s="391"/>
      <c r="G10" s="391"/>
    </row>
    <row r="11" spans="1:7" ht="13.5" thickBot="1" x14ac:dyDescent="0.25">
      <c r="A11" s="1070"/>
      <c r="B11" s="1962">
        <v>1993</v>
      </c>
      <c r="C11" s="1962">
        <v>11</v>
      </c>
      <c r="D11" s="1962">
        <v>10</v>
      </c>
      <c r="E11" s="1962">
        <v>106</v>
      </c>
      <c r="F11" s="391" t="s">
        <v>2110</v>
      </c>
      <c r="G11" s="1960">
        <v>309</v>
      </c>
    </row>
    <row r="12" spans="1:7" ht="13.5" thickTop="1" x14ac:dyDescent="0.2">
      <c r="A12" s="1070"/>
      <c r="F12" s="391"/>
      <c r="G12" s="391"/>
    </row>
    <row r="13" spans="1:7" ht="13.5" thickBot="1" x14ac:dyDescent="0.25">
      <c r="A13" s="1070"/>
      <c r="B13" s="1962">
        <v>4090</v>
      </c>
      <c r="C13" s="1962">
        <v>12</v>
      </c>
      <c r="D13" s="1962">
        <v>10</v>
      </c>
      <c r="E13" s="1962">
        <v>183</v>
      </c>
      <c r="F13" s="391" t="s">
        <v>2108</v>
      </c>
      <c r="G13" s="1960">
        <v>25700</v>
      </c>
    </row>
    <row r="14" spans="1:7" ht="13.5" thickTop="1" x14ac:dyDescent="0.2">
      <c r="A14" s="1070"/>
    </row>
    <row r="15" spans="1:7" x14ac:dyDescent="0.2">
      <c r="A15" s="1070"/>
    </row>
    <row r="16" spans="1:7"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Scales Mound CUSD 211</v>
      </c>
    </row>
    <row r="64" spans="1:2" x14ac:dyDescent="0.2">
      <c r="B64" s="1964">
        <f>COVER!A13</f>
        <v>8043211026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13" sqref="F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0" t="s">
        <v>1784</v>
      </c>
      <c r="B18" s="23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autoPict="0" r:id="rId5">
            <anchor moveWithCells="1">
              <from>
                <xdr:col>3</xdr:col>
                <xdr:colOff>171450</xdr:colOff>
                <xdr:row>1</xdr:row>
                <xdr:rowOff>142875</xdr:rowOff>
              </from>
              <to>
                <xdr:col>4</xdr:col>
                <xdr:colOff>485775</xdr:colOff>
                <xdr:row>6</xdr:row>
                <xdr:rowOff>95250</xdr:rowOff>
              </to>
            </anchor>
          </objectPr>
        </oleObject>
      </mc:Choice>
      <mc:Fallback>
        <oleObject progId="PDF"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4"/>
      <c r="H2" s="1074"/>
    </row>
    <row r="3" spans="1:8" ht="57" customHeight="1" x14ac:dyDescent="0.2">
      <c r="A3" s="2374" t="s">
        <v>1786</v>
      </c>
      <c r="B3" s="2375"/>
      <c r="C3" s="2375"/>
      <c r="D3" s="2375"/>
      <c r="E3" s="2375"/>
      <c r="F3" s="2376"/>
      <c r="G3" s="1074"/>
      <c r="H3" s="1074"/>
    </row>
    <row r="4" spans="1:8" ht="14.25" customHeight="1" x14ac:dyDescent="0.2">
      <c r="A4" s="2380" t="s">
        <v>2056</v>
      </c>
      <c r="B4" s="2381"/>
      <c r="C4" s="2381"/>
      <c r="D4" s="2381"/>
      <c r="E4" s="2381"/>
      <c r="F4" s="2382"/>
      <c r="G4" s="1074"/>
      <c r="H4" s="1074"/>
    </row>
    <row r="5" spans="1:8" ht="14.25" customHeight="1" x14ac:dyDescent="0.2">
      <c r="A5" s="2383" t="s">
        <v>2057</v>
      </c>
      <c r="B5" s="2384"/>
      <c r="C5" s="2384"/>
      <c r="D5" s="2384"/>
      <c r="E5" s="2384"/>
      <c r="F5" s="2385"/>
      <c r="G5" s="1074"/>
      <c r="H5" s="1074"/>
    </row>
    <row r="6" spans="1:8" s="1075" customFormat="1" ht="41.25" customHeight="1" x14ac:dyDescent="0.2">
      <c r="A6" s="2377" t="s">
        <v>1792</v>
      </c>
      <c r="B6" s="2378"/>
      <c r="C6" s="2378"/>
      <c r="D6" s="2378"/>
      <c r="E6" s="2378"/>
      <c r="F6" s="2379"/>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3774307</v>
      </c>
      <c r="C8" s="1837">
        <f>'Acct Summary 7-8'!D8</f>
        <v>456195</v>
      </c>
      <c r="D8" s="1837">
        <f>'Acct Summary 7-8'!F8</f>
        <v>433484</v>
      </c>
      <c r="E8" s="1837">
        <f>'Acct Summary 7-8'!I8</f>
        <v>5058</v>
      </c>
      <c r="F8" s="1837">
        <f>SUM(B8:E8)</f>
        <v>4669044</v>
      </c>
    </row>
    <row r="9" spans="1:8" s="1079" customFormat="1" ht="14.25" customHeight="1" thickBot="1" x14ac:dyDescent="0.25">
      <c r="A9" s="1078" t="s">
        <v>1436</v>
      </c>
      <c r="B9" s="1838">
        <f>'Acct Summary 7-8'!C17</f>
        <v>3472424</v>
      </c>
      <c r="C9" s="1838">
        <f>'Acct Summary 7-8'!D17</f>
        <v>438796</v>
      </c>
      <c r="D9" s="1838">
        <f>'Acct Summary 7-8'!F17</f>
        <v>301586</v>
      </c>
      <c r="E9" s="1837"/>
      <c r="F9" s="1837">
        <f>SUM(B9:E9)</f>
        <v>4212806</v>
      </c>
    </row>
    <row r="10" spans="1:8" s="1079" customFormat="1" ht="14.25" thickTop="1" thickBot="1" x14ac:dyDescent="0.25">
      <c r="A10" s="1080" t="s">
        <v>1437</v>
      </c>
      <c r="B10" s="1839">
        <f>(B8-B9)</f>
        <v>301883</v>
      </c>
      <c r="C10" s="1839">
        <f>(C8-C9)</f>
        <v>17399</v>
      </c>
      <c r="D10" s="1839">
        <f>(D8-D9)</f>
        <v>131898</v>
      </c>
      <c r="E10" s="1838">
        <f>(E8-E9)</f>
        <v>5058</v>
      </c>
      <c r="F10" s="1840">
        <f>SUM(F8-F9)</f>
        <v>456238</v>
      </c>
    </row>
    <row r="11" spans="1:8" s="1079" customFormat="1" ht="14.25" thickTop="1" thickBot="1" x14ac:dyDescent="0.25">
      <c r="A11" s="1081" t="s">
        <v>1785</v>
      </c>
      <c r="B11" s="1841">
        <f>'Acct Summary 7-8'!C81</f>
        <v>6851937</v>
      </c>
      <c r="C11" s="1841">
        <f>'Acct Summary 7-8'!D81</f>
        <v>1850384</v>
      </c>
      <c r="D11" s="1841">
        <f>'Acct Summary 7-8'!F81</f>
        <v>1605430</v>
      </c>
      <c r="E11" s="1841">
        <f>'Acct Summary 7-8'!I81</f>
        <v>417860</v>
      </c>
      <c r="F11" s="1842">
        <f>SUM(B11:E11)</f>
        <v>10725611</v>
      </c>
    </row>
    <row r="12" spans="1:8" ht="16.5" customHeight="1" thickTop="1" x14ac:dyDescent="0.2">
      <c r="A12" s="1082"/>
      <c r="B12" s="1083"/>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4"/>
      <c r="B13" s="1085"/>
      <c r="C13" s="2365"/>
      <c r="D13" s="2366"/>
      <c r="E13" s="2366"/>
      <c r="F13" s="2367"/>
      <c r="H13" s="1074"/>
    </row>
    <row r="14" spans="1:8" ht="19.5" customHeight="1" x14ac:dyDescent="0.2">
      <c r="A14" s="1084"/>
      <c r="B14" s="1085"/>
      <c r="C14" s="2365"/>
      <c r="D14" s="2366"/>
      <c r="E14" s="2366"/>
      <c r="F14" s="2367"/>
      <c r="H14" s="1074"/>
    </row>
    <row r="15" spans="1:8" ht="17.25" customHeight="1" x14ac:dyDescent="0.2">
      <c r="A15" s="1084"/>
      <c r="B15" s="1085"/>
      <c r="C15" s="2368"/>
      <c r="D15" s="2369"/>
      <c r="E15" s="2369"/>
      <c r="F15" s="2370"/>
      <c r="H15" s="1074"/>
    </row>
    <row r="16" spans="1:8" s="310" customFormat="1" ht="51.75" hidden="1" customHeight="1" x14ac:dyDescent="0.2">
      <c r="A16" s="2364" t="s">
        <v>1787</v>
      </c>
      <c r="B16" s="2364"/>
      <c r="C16" s="2364"/>
      <c r="D16" s="2364"/>
      <c r="E16" s="2364"/>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D100" sqref="D10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6" t="s">
        <v>686</v>
      </c>
      <c r="B3" s="2387"/>
      <c r="C3" s="2387"/>
      <c r="D3" s="2388"/>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7" t="s">
        <v>1584</v>
      </c>
      <c r="D7" s="2398"/>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1" t="s">
        <v>332</v>
      </c>
      <c r="D21" s="2402"/>
    </row>
    <row r="22" spans="1:10" ht="12.75" x14ac:dyDescent="0.2">
      <c r="A22" s="1139"/>
      <c r="B22" s="1140">
        <v>2</v>
      </c>
      <c r="C22" s="2399" t="s">
        <v>1605</v>
      </c>
      <c r="D22" s="2400"/>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3" t="s">
        <v>557</v>
      </c>
      <c r="D43" s="2404"/>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5" t="s">
        <v>817</v>
      </c>
      <c r="D56" s="2396"/>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5" t="s">
        <v>1797</v>
      </c>
      <c r="D70" s="2396"/>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8043211026</v>
      </c>
    </row>
    <row r="3" spans="1:2" x14ac:dyDescent="0.2">
      <c r="A3" t="s">
        <v>1013</v>
      </c>
      <c r="B3" s="138" t="str">
        <f>COVER!A15</f>
        <v>JO DAVIESS</v>
      </c>
    </row>
    <row r="4" spans="1:2" x14ac:dyDescent="0.2">
      <c r="A4" t="s">
        <v>1064</v>
      </c>
      <c r="B4" s="138" t="str">
        <f>COVER!A17</f>
        <v>Scales Mound CUSD 211</v>
      </c>
    </row>
    <row r="5" spans="1:2" x14ac:dyDescent="0.2">
      <c r="A5" t="s">
        <v>728</v>
      </c>
      <c r="B5" s="138" t="str">
        <f>COVER!A38</f>
        <v>DR. WILLIAM CARON</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35738</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6852213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276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276</v>
      </c>
      <c r="C91" s="2" t="s">
        <v>594</v>
      </c>
      <c r="D91" s="2" t="str">
        <f t="shared" si="0"/>
        <v>Error?</v>
      </c>
    </row>
    <row r="92" spans="1:4" x14ac:dyDescent="0.2">
      <c r="A92" s="5">
        <v>31</v>
      </c>
      <c r="B92" s="138">
        <f>'Assets-Liab 5-6'!C39</f>
        <v>6851937</v>
      </c>
      <c r="D92" s="2" t="str">
        <f t="shared" si="0"/>
        <v>Error?</v>
      </c>
    </row>
    <row r="93" spans="1:4" x14ac:dyDescent="0.2">
      <c r="A93" s="5">
        <v>32</v>
      </c>
      <c r="B93" s="138">
        <f>'Assets-Liab 5-6'!C41</f>
        <v>6852213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1850386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v>
      </c>
      <c r="C122" s="2" t="s">
        <v>594</v>
      </c>
      <c r="D122" s="2" t="str">
        <f t="shared" si="0"/>
        <v>Error?</v>
      </c>
    </row>
    <row r="123" spans="1:4" x14ac:dyDescent="0.2">
      <c r="A123" s="5">
        <v>62</v>
      </c>
      <c r="B123" s="138">
        <f>'Assets-Liab 5-6'!D39</f>
        <v>1850384</v>
      </c>
      <c r="D123" s="2" t="str">
        <f t="shared" si="0"/>
        <v>Error?</v>
      </c>
    </row>
    <row r="124" spans="1:4" x14ac:dyDescent="0.2">
      <c r="A124" s="5">
        <v>63</v>
      </c>
      <c r="B124" s="138">
        <f>'Assets-Liab 5-6'!D41</f>
        <v>1850386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1605426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-4</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v>
      </c>
      <c r="C169" s="2" t="s">
        <v>594</v>
      </c>
      <c r="D169" s="2" t="str">
        <f t="shared" si="1"/>
        <v>Error?</v>
      </c>
    </row>
    <row r="170" spans="1:4" x14ac:dyDescent="0.2">
      <c r="A170" s="5">
        <v>109</v>
      </c>
      <c r="B170" s="138">
        <f>'Assets-Liab 5-6'!F39</f>
        <v>1605430</v>
      </c>
      <c r="D170" s="2" t="str">
        <f t="shared" si="1"/>
        <v>Error?</v>
      </c>
    </row>
    <row r="171" spans="1:4" x14ac:dyDescent="0.2">
      <c r="A171" s="5">
        <v>110</v>
      </c>
      <c r="B171" s="138">
        <f>'Assets-Liab 5-6'!F41</f>
        <v>1605426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374777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312581</v>
      </c>
      <c r="D189" s="2" t="str">
        <f t="shared" si="1"/>
        <v>Error?</v>
      </c>
    </row>
    <row r="190" spans="1:4" x14ac:dyDescent="0.2">
      <c r="A190" s="5">
        <v>129</v>
      </c>
      <c r="B190" s="138">
        <f>'Assets-Liab 5-6'!G41</f>
        <v>374777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298466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298466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67197</v>
      </c>
      <c r="D273" s="2" t="str">
        <f t="shared" si="3"/>
        <v>Error?</v>
      </c>
    </row>
    <row r="274" spans="1:4" x14ac:dyDescent="0.2">
      <c r="A274" s="5">
        <v>213</v>
      </c>
      <c r="B274" s="138">
        <f>'Assets-Liab 5-6'!M17</f>
        <v>6277284</v>
      </c>
      <c r="D274" s="2" t="str">
        <f t="shared" si="3"/>
        <v>Error?</v>
      </c>
    </row>
    <row r="275" spans="1:4" x14ac:dyDescent="0.2">
      <c r="A275" s="5">
        <v>214</v>
      </c>
      <c r="B275" s="138">
        <f>'Assets-Liab 5-6'!M18</f>
        <v>30656</v>
      </c>
      <c r="D275" s="2" t="str">
        <f t="shared" si="3"/>
        <v>Error?</v>
      </c>
    </row>
    <row r="276" spans="1:4" x14ac:dyDescent="0.2">
      <c r="A276" s="5">
        <v>215</v>
      </c>
      <c r="B276" s="138">
        <f>'Assets-Liab 5-6'!M19</f>
        <v>2055182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8430319</v>
      </c>
      <c r="C279" s="2" t="s">
        <v>594</v>
      </c>
      <c r="D279" s="2" t="str">
        <f t="shared" si="3"/>
        <v>Error?</v>
      </c>
    </row>
    <row r="280" spans="1:4" x14ac:dyDescent="0.2">
      <c r="A280" s="5">
        <v>219</v>
      </c>
      <c r="B280" s="138">
        <f>'Assets-Liab 5-6'!M40</f>
        <v>8430319</v>
      </c>
      <c r="D280" s="2" t="str">
        <f t="shared" si="3"/>
        <v>Error?</v>
      </c>
    </row>
    <row r="281" spans="1:4" x14ac:dyDescent="0.2">
      <c r="A281" s="5">
        <v>220</v>
      </c>
      <c r="B281" s="138">
        <f>'Assets-Liab 5-6'!M41</f>
        <v>8430319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1263178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121836</v>
      </c>
      <c r="D717" s="2" t="str">
        <f t="shared" si="10"/>
        <v>Error?</v>
      </c>
    </row>
    <row r="718" spans="1:4" x14ac:dyDescent="0.2">
      <c r="A718" s="5">
        <v>657</v>
      </c>
      <c r="B718" s="138">
        <f>'Expenditures 15-22'!C14</f>
        <v>84484</v>
      </c>
      <c r="D718" s="2" t="str">
        <f t="shared" si="10"/>
        <v>Error?</v>
      </c>
    </row>
    <row r="719" spans="1:4" x14ac:dyDescent="0.2">
      <c r="A719" s="5">
        <v>658</v>
      </c>
      <c r="B719" s="138">
        <f>'Expenditures 15-22'!C15</f>
        <v>3593</v>
      </c>
      <c r="D719" s="2" t="str">
        <f t="shared" si="10"/>
        <v>Error?</v>
      </c>
    </row>
    <row r="720" spans="1:4" x14ac:dyDescent="0.2">
      <c r="A720" s="5">
        <v>659</v>
      </c>
      <c r="B720" s="138">
        <f>'Expenditures 15-22'!C33</f>
        <v>1820894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62524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62730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125254</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74289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74289</v>
      </c>
      <c r="C731" s="2" t="s">
        <v>594</v>
      </c>
      <c r="D731" s="2" t="str">
        <f t="shared" si="10"/>
        <v>Error?</v>
      </c>
    </row>
    <row r="732" spans="1:4" x14ac:dyDescent="0.2">
      <c r="A732" s="5">
        <v>671</v>
      </c>
      <c r="B732" s="138">
        <f>'Expenditures 15-22'!C49</f>
        <v>900</v>
      </c>
      <c r="D732" s="2" t="str">
        <f t="shared" si="10"/>
        <v>Error?</v>
      </c>
    </row>
    <row r="733" spans="1:4" x14ac:dyDescent="0.2">
      <c r="A733" s="5">
        <v>672</v>
      </c>
      <c r="B733" s="138">
        <f>'Expenditures 15-22'!C50</f>
        <v>93367</v>
      </c>
      <c r="D733" s="2" t="str">
        <f t="shared" si="10"/>
        <v>Error?</v>
      </c>
    </row>
    <row r="734" spans="1:4" x14ac:dyDescent="0.2">
      <c r="A734" s="5">
        <v>673</v>
      </c>
      <c r="B734" s="138">
        <f>'Expenditures 15-22'!C53</f>
        <v>94267</v>
      </c>
      <c r="C734" s="2" t="s">
        <v>594</v>
      </c>
      <c r="D734" s="2" t="str">
        <f t="shared" si="10"/>
        <v>Error?</v>
      </c>
    </row>
    <row r="735" spans="1:4" x14ac:dyDescent="0.2">
      <c r="A735" s="5">
        <v>674</v>
      </c>
      <c r="B735" s="138">
        <f>'Expenditures 15-22'!C55</f>
        <v>149203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149203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48593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55369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103962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546975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2367869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300688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25656</v>
      </c>
      <c r="D775" s="2" t="str">
        <f t="shared" si="11"/>
        <v>Error?</v>
      </c>
    </row>
    <row r="776" spans="1:4" x14ac:dyDescent="0.2">
      <c r="A776" s="5">
        <v>715</v>
      </c>
      <c r="B776" s="138">
        <f>'Expenditures 15-22'!D14</f>
        <v>6241</v>
      </c>
      <c r="D776" s="2" t="str">
        <f t="shared" si="11"/>
        <v>Error?</v>
      </c>
    </row>
    <row r="777" spans="1:4" x14ac:dyDescent="0.2">
      <c r="A777" s="5">
        <v>716</v>
      </c>
      <c r="B777" s="138">
        <f>'Expenditures 15-22'!D15</f>
        <v>149</v>
      </c>
      <c r="D777" s="2" t="str">
        <f t="shared" si="11"/>
        <v>Error?</v>
      </c>
    </row>
    <row r="778" spans="1:4" x14ac:dyDescent="0.2">
      <c r="A778" s="5">
        <v>717</v>
      </c>
      <c r="B778" s="138">
        <f>'Expenditures 15-22'!D33</f>
        <v>417765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8658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8566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17224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16292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16292</v>
      </c>
      <c r="C789" s="2" t="s">
        <v>594</v>
      </c>
      <c r="D789" s="2" t="str">
        <f t="shared" si="11"/>
        <v>Error?</v>
      </c>
    </row>
    <row r="790" spans="1:4" x14ac:dyDescent="0.2">
      <c r="A790" s="5">
        <v>729</v>
      </c>
      <c r="B790" s="138">
        <f>'Expenditures 15-22'!D49</f>
        <v>5061</v>
      </c>
      <c r="D790" s="2" t="str">
        <f t="shared" si="11"/>
        <v>Error?</v>
      </c>
    </row>
    <row r="791" spans="1:4" x14ac:dyDescent="0.2">
      <c r="A791" s="5">
        <v>730</v>
      </c>
      <c r="B791" s="138">
        <f>'Expenditures 15-22'!D50</f>
        <v>18512</v>
      </c>
      <c r="D791" s="2" t="str">
        <f t="shared" si="11"/>
        <v>Error?</v>
      </c>
    </row>
    <row r="792" spans="1:4" x14ac:dyDescent="0.2">
      <c r="A792" s="5">
        <v>731</v>
      </c>
      <c r="B792" s="138">
        <f>'Expenditures 15-22'!D53</f>
        <v>23573</v>
      </c>
      <c r="C792" s="2" t="s">
        <v>594</v>
      </c>
      <c r="D792" s="2" t="str">
        <f t="shared" si="11"/>
        <v>Error?</v>
      </c>
    </row>
    <row r="793" spans="1:4" x14ac:dyDescent="0.2">
      <c r="A793" s="5">
        <v>732</v>
      </c>
      <c r="B793" s="138">
        <f>'Expenditures 15-22'!D55</f>
        <v>31189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31189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8700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17173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25873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114151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531916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96283</v>
      </c>
      <c r="D821" s="2" t="str">
        <f t="shared" si="11"/>
        <v>Error?</v>
      </c>
    </row>
    <row r="822" spans="1:4" x14ac:dyDescent="0.2">
      <c r="A822" s="5">
        <v>761</v>
      </c>
      <c r="B822" s="138">
        <f>'Expenditures 15-22'!E16</f>
        <v>898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807</v>
      </c>
      <c r="D833" s="2" t="str">
        <f t="shared" si="12"/>
        <v>Error?</v>
      </c>
    </row>
    <row r="834" spans="1:4" x14ac:dyDescent="0.2">
      <c r="A834" s="5">
        <v>773</v>
      </c>
      <c r="B834" s="138">
        <f>'Expenditures 15-22'!E14</f>
        <v>13693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121981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548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548</v>
      </c>
      <c r="C843" s="2" t="s">
        <v>594</v>
      </c>
      <c r="D843" s="2" t="str">
        <f t="shared" si="12"/>
        <v>Error?</v>
      </c>
    </row>
    <row r="844" spans="1:4" x14ac:dyDescent="0.2">
      <c r="A844" s="5">
        <v>783</v>
      </c>
      <c r="B844" s="138">
        <f>'Expenditures 15-22'!E44</f>
        <v>15862</v>
      </c>
      <c r="D844" s="2" t="str">
        <f t="shared" si="12"/>
        <v>Error?</v>
      </c>
    </row>
    <row r="845" spans="1:4" x14ac:dyDescent="0.2">
      <c r="A845" s="5">
        <v>784</v>
      </c>
      <c r="B845" s="138">
        <f>'Expenditures 15-22'!E45</f>
        <v>1946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17808</v>
      </c>
      <c r="C847" s="2" t="s">
        <v>594</v>
      </c>
      <c r="D847" s="2" t="str">
        <f t="shared" si="12"/>
        <v>Error?</v>
      </c>
    </row>
    <row r="848" spans="1:4" x14ac:dyDescent="0.2">
      <c r="A848" s="5">
        <v>787</v>
      </c>
      <c r="B848" s="138">
        <f>'Expenditures 15-22'!E49</f>
        <v>37564</v>
      </c>
      <c r="D848" s="2" t="str">
        <f t="shared" si="12"/>
        <v>Error?</v>
      </c>
    </row>
    <row r="849" spans="1:4" x14ac:dyDescent="0.2">
      <c r="A849" s="5">
        <v>788</v>
      </c>
      <c r="B849" s="138">
        <f>'Expenditures 15-22'!E50</f>
        <v>7011</v>
      </c>
      <c r="D849" s="2" t="str">
        <f t="shared" si="12"/>
        <v>Error?</v>
      </c>
    </row>
    <row r="850" spans="1:4" x14ac:dyDescent="0.2">
      <c r="A850" s="5">
        <v>789</v>
      </c>
      <c r="B850" s="138">
        <f>'Expenditures 15-22'!E53</f>
        <v>44575</v>
      </c>
      <c r="C850" s="2" t="s">
        <v>594</v>
      </c>
      <c r="D850" s="2" t="str">
        <f t="shared" si="12"/>
        <v>Error?</v>
      </c>
    </row>
    <row r="851" spans="1:4" x14ac:dyDescent="0.2">
      <c r="A851" s="5">
        <v>790</v>
      </c>
      <c r="B851" s="138">
        <f>'Expenditures 15-22'!E55</f>
        <v>1702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1702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772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v>
      </c>
      <c r="D858" s="2" t="str">
        <f t="shared" si="12"/>
        <v>Error?</v>
      </c>
    </row>
    <row r="859" spans="1:4" x14ac:dyDescent="0.2">
      <c r="A859" s="5">
        <v>798</v>
      </c>
      <c r="B859" s="138">
        <f>'Expenditures 15-22'!E64</f>
        <v>4612</v>
      </c>
      <c r="D859" s="2" t="str">
        <f t="shared" si="12"/>
        <v>Error?</v>
      </c>
    </row>
    <row r="860" spans="1:4" x14ac:dyDescent="0.2">
      <c r="A860" s="10">
        <v>799</v>
      </c>
      <c r="D860" s="2" t="str">
        <f t="shared" si="12"/>
        <v>OK</v>
      </c>
    </row>
    <row r="861" spans="1:4" x14ac:dyDescent="0.2">
      <c r="A861" s="5">
        <v>800</v>
      </c>
      <c r="B861" s="138">
        <f>'Expenditures 15-22'!E65</f>
        <v>5394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70027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192008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41842</v>
      </c>
      <c r="D879" s="2" t="str">
        <f t="shared" si="12"/>
        <v>Error?</v>
      </c>
    </row>
    <row r="880" spans="1:4" x14ac:dyDescent="0.2">
      <c r="A880" s="5">
        <v>819</v>
      </c>
      <c r="B880" s="138">
        <f>'Expenditures 15-22'!F16</f>
        <v>80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7594</v>
      </c>
      <c r="D891" s="2" t="str">
        <f t="shared" si="12"/>
        <v>Error?</v>
      </c>
    </row>
    <row r="892" spans="1:4" x14ac:dyDescent="0.2">
      <c r="A892" s="5">
        <v>831</v>
      </c>
      <c r="B892" s="138">
        <f>'Expenditures 15-22'!F14</f>
        <v>12448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68704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160</v>
      </c>
      <c r="D896" s="2" t="str">
        <f t="shared" si="13"/>
        <v>Error?</v>
      </c>
    </row>
    <row r="897" spans="1:4" x14ac:dyDescent="0.2">
      <c r="A897" s="5">
        <v>836</v>
      </c>
      <c r="B897" s="138">
        <f>'Expenditures 15-22'!F38</f>
        <v>102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274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536</v>
      </c>
      <c r="C901" s="2" t="s">
        <v>594</v>
      </c>
      <c r="D901" s="2" t="str">
        <f t="shared" si="13"/>
        <v>Error?</v>
      </c>
    </row>
    <row r="902" spans="1:4" x14ac:dyDescent="0.2">
      <c r="A902" s="5">
        <v>841</v>
      </c>
      <c r="B902" s="138">
        <f>'Expenditures 15-22'!F44</f>
        <v>437</v>
      </c>
      <c r="D902" s="2" t="str">
        <f t="shared" si="13"/>
        <v>Error?</v>
      </c>
    </row>
    <row r="903" spans="1:4" x14ac:dyDescent="0.2">
      <c r="A903" s="5">
        <v>842</v>
      </c>
      <c r="B903" s="138">
        <f>'Expenditures 15-22'!F45</f>
        <v>5347</v>
      </c>
      <c r="D903" s="2" t="str">
        <f t="shared" si="13"/>
        <v>Error?</v>
      </c>
    </row>
    <row r="904" spans="1:4" x14ac:dyDescent="0.2">
      <c r="A904" s="5">
        <v>843</v>
      </c>
      <c r="B904" s="138">
        <f>'Expenditures 15-22'!F46</f>
        <v>3300</v>
      </c>
      <c r="D904" s="2" t="str">
        <f t="shared" si="13"/>
        <v>Error?</v>
      </c>
    </row>
    <row r="905" spans="1:4" x14ac:dyDescent="0.2">
      <c r="A905" s="5">
        <v>844</v>
      </c>
      <c r="B905" s="138">
        <f>'Expenditures 15-22'!F47</f>
        <v>9084</v>
      </c>
      <c r="C905" s="2" t="s">
        <v>594</v>
      </c>
      <c r="D905" s="2" t="str">
        <f t="shared" si="13"/>
        <v>Error?</v>
      </c>
    </row>
    <row r="906" spans="1:4" x14ac:dyDescent="0.2">
      <c r="A906" s="5">
        <v>845</v>
      </c>
      <c r="B906" s="138">
        <f>'Expenditures 15-22'!F49</f>
        <v>120</v>
      </c>
      <c r="D906" s="2" t="str">
        <f t="shared" si="13"/>
        <v>Error?</v>
      </c>
    </row>
    <row r="907" spans="1:4" x14ac:dyDescent="0.2">
      <c r="A907" s="5">
        <v>846</v>
      </c>
      <c r="B907" s="138">
        <f>'Expenditures 15-22'!F50</f>
        <v>1026</v>
      </c>
      <c r="D907" s="2" t="str">
        <f t="shared" si="13"/>
        <v>Error?</v>
      </c>
    </row>
    <row r="908" spans="1:4" x14ac:dyDescent="0.2">
      <c r="A908" s="5">
        <v>847</v>
      </c>
      <c r="B908" s="138">
        <f>'Expenditures 15-22'!F53</f>
        <v>1146</v>
      </c>
      <c r="C908" s="2" t="s">
        <v>594</v>
      </c>
      <c r="D908" s="2" t="str">
        <f t="shared" si="13"/>
        <v>Error?</v>
      </c>
    </row>
    <row r="909" spans="1:4" x14ac:dyDescent="0.2">
      <c r="A909" s="5">
        <v>848</v>
      </c>
      <c r="B909" s="138">
        <f>'Expenditures 15-22'!F55</f>
        <v>225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513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53120</v>
      </c>
      <c r="D916" s="2" t="str">
        <f t="shared" si="13"/>
        <v>Error?</v>
      </c>
    </row>
    <row r="917" spans="1:4" x14ac:dyDescent="0.2">
      <c r="A917" s="5">
        <v>856</v>
      </c>
      <c r="B917" s="138">
        <f>'Expenditures 15-22'!F64</f>
        <v>24729</v>
      </c>
      <c r="D917" s="2" t="str">
        <f t="shared" si="13"/>
        <v>Error?</v>
      </c>
    </row>
    <row r="918" spans="1:4" x14ac:dyDescent="0.2">
      <c r="A918" s="10">
        <v>857</v>
      </c>
      <c r="D918" s="2" t="str">
        <f t="shared" si="13"/>
        <v>OK</v>
      </c>
    </row>
    <row r="919" spans="1:4" x14ac:dyDescent="0.2">
      <c r="A919" s="5">
        <v>858</v>
      </c>
      <c r="B919" s="138">
        <f>'Expenditures 15-22'!F65</f>
        <v>78362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89353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158057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90699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7594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98293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30941</v>
      </c>
      <c r="D975" s="2" t="str">
        <f t="shared" si="14"/>
        <v>Error?</v>
      </c>
    </row>
    <row r="976" spans="1:4" x14ac:dyDescent="0.2">
      <c r="A976" s="10">
        <v>915</v>
      </c>
      <c r="D976" s="2" t="str">
        <f t="shared" si="14"/>
        <v>OK</v>
      </c>
    </row>
    <row r="977" spans="1:4" x14ac:dyDescent="0.2">
      <c r="A977" s="5">
        <v>916</v>
      </c>
      <c r="B977" s="138">
        <f>'Expenditures 15-22'!G65</f>
        <v>30941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30941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129234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444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444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444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92896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93340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1792690</v>
      </c>
      <c r="C1093" s="2" t="s">
        <v>594</v>
      </c>
      <c r="D1093" s="2" t="str">
        <f t="shared" si="16"/>
        <v>Error?</v>
      </c>
    </row>
    <row r="1094" spans="1:4" x14ac:dyDescent="0.2">
      <c r="A1094" s="5">
        <v>1033</v>
      </c>
      <c r="B1094" s="138">
        <f>'Expenditures 15-22'!K16</f>
        <v>978</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155893</v>
      </c>
      <c r="C1105" s="2" t="s">
        <v>594</v>
      </c>
      <c r="D1105" s="2" t="str">
        <f t="shared" si="16"/>
        <v>Error?</v>
      </c>
    </row>
    <row r="1106" spans="1:4" x14ac:dyDescent="0.2">
      <c r="A1106" s="5">
        <v>1045</v>
      </c>
      <c r="B1106" s="138">
        <f>'Expenditures 15-22'!K14</f>
        <v>124460</v>
      </c>
      <c r="C1106" s="2" t="s">
        <v>594</v>
      </c>
      <c r="D1106" s="2" t="str">
        <f t="shared" si="16"/>
        <v>Error?</v>
      </c>
    </row>
    <row r="1107" spans="1:4" x14ac:dyDescent="0.2">
      <c r="A1107" s="5">
        <v>1046</v>
      </c>
      <c r="B1107" s="138">
        <f>'Expenditures 15-22'!K15</f>
        <v>3742</v>
      </c>
      <c r="C1107" s="2" t="s">
        <v>594</v>
      </c>
      <c r="D1107" s="2" t="str">
        <f t="shared" si="16"/>
        <v>Error?</v>
      </c>
    </row>
    <row r="1108" spans="1:4" x14ac:dyDescent="0.2">
      <c r="A1108" s="5">
        <v>1047</v>
      </c>
      <c r="B1108" s="138">
        <f>'Expenditures 15-22'!K33</f>
        <v>2527637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71342</v>
      </c>
      <c r="C1110" s="2" t="s">
        <v>594</v>
      </c>
      <c r="D1110" s="2" t="str">
        <f t="shared" si="16"/>
        <v>Error?</v>
      </c>
    </row>
    <row r="1111" spans="1:4" x14ac:dyDescent="0.2">
      <c r="A1111" s="5">
        <v>1050</v>
      </c>
      <c r="B1111" s="138">
        <f>'Expenditures 15-22'!K38</f>
        <v>650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71570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143562</v>
      </c>
      <c r="C1115" s="2" t="s">
        <v>594</v>
      </c>
      <c r="D1115" s="2" t="str">
        <f t="shared" si="16"/>
        <v>Error?</v>
      </c>
    </row>
    <row r="1116" spans="1:4" x14ac:dyDescent="0.2">
      <c r="A1116" s="5">
        <v>1055</v>
      </c>
      <c r="B1116" s="138">
        <f>'Expenditures 15-22'!K44</f>
        <v>16299</v>
      </c>
      <c r="C1116" s="2" t="s">
        <v>594</v>
      </c>
      <c r="D1116" s="2" t="str">
        <f t="shared" si="16"/>
        <v>Error?</v>
      </c>
    </row>
    <row r="1117" spans="1:4" x14ac:dyDescent="0.2">
      <c r="A1117" s="5">
        <v>1056</v>
      </c>
      <c r="B1117" s="138">
        <f>'Expenditures 15-22'!K45</f>
        <v>97874</v>
      </c>
      <c r="C1117" s="2" t="s">
        <v>594</v>
      </c>
      <c r="D1117" s="2" t="str">
        <f t="shared" si="16"/>
        <v>Error?</v>
      </c>
    </row>
    <row r="1118" spans="1:4" x14ac:dyDescent="0.2">
      <c r="A1118" s="5">
        <v>1057</v>
      </c>
      <c r="B1118" s="138">
        <f>'Expenditures 15-22'!K46</f>
        <v>3300</v>
      </c>
      <c r="C1118" s="2" t="s">
        <v>594</v>
      </c>
      <c r="D1118" s="2" t="str">
        <f t="shared" si="16"/>
        <v>Error?</v>
      </c>
    </row>
    <row r="1119" spans="1:4" x14ac:dyDescent="0.2">
      <c r="A1119" s="5">
        <v>1058</v>
      </c>
      <c r="B1119" s="138">
        <f>'Expenditures 15-22'!K47</f>
        <v>117473</v>
      </c>
      <c r="C1119" s="2" t="s">
        <v>594</v>
      </c>
      <c r="D1119" s="2" t="str">
        <f t="shared" si="16"/>
        <v>Error?</v>
      </c>
    </row>
    <row r="1120" spans="1:4" x14ac:dyDescent="0.2">
      <c r="A1120" s="5">
        <v>1059</v>
      </c>
      <c r="B1120" s="138">
        <f>'Expenditures 15-22'!K49</f>
        <v>43645</v>
      </c>
      <c r="C1120" s="2" t="s">
        <v>594</v>
      </c>
      <c r="D1120" s="2" t="str">
        <f t="shared" si="16"/>
        <v>Error?</v>
      </c>
    </row>
    <row r="1121" spans="1:4" x14ac:dyDescent="0.2">
      <c r="A1121" s="5">
        <v>1060</v>
      </c>
      <c r="B1121" s="138">
        <f>'Expenditures 15-22'!K50</f>
        <v>119916</v>
      </c>
      <c r="C1121" s="2" t="s">
        <v>594</v>
      </c>
      <c r="D1121" s="2" t="str">
        <f t="shared" si="16"/>
        <v>Error?</v>
      </c>
    </row>
    <row r="1122" spans="1:4" x14ac:dyDescent="0.2">
      <c r="A1122" s="5">
        <v>1061</v>
      </c>
      <c r="B1122" s="138">
        <f>'Expenditures 15-22'!K53</f>
        <v>163561</v>
      </c>
      <c r="C1122" s="2" t="s">
        <v>594</v>
      </c>
      <c r="D1122" s="2" t="str">
        <f t="shared" si="16"/>
        <v>Error?</v>
      </c>
    </row>
    <row r="1123" spans="1:4" x14ac:dyDescent="0.2">
      <c r="A1123" s="5">
        <v>1062</v>
      </c>
      <c r="B1123" s="138">
        <f>'Expenditures 15-22'!K55</f>
        <v>182763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182763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58578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125672</v>
      </c>
      <c r="C1130" s="2" t="s">
        <v>594</v>
      </c>
      <c r="D1130" s="2" t="str">
        <f t="shared" si="16"/>
        <v>Error?</v>
      </c>
    </row>
    <row r="1131" spans="1:4" x14ac:dyDescent="0.2">
      <c r="A1131" s="5">
        <v>1070</v>
      </c>
      <c r="B1131" s="138">
        <f>'Expenditures 15-22'!K64</f>
        <v>60282</v>
      </c>
      <c r="C1131" s="2" t="s">
        <v>594</v>
      </c>
      <c r="D1131" s="2" t="str">
        <f t="shared" si="16"/>
        <v>Error?</v>
      </c>
    </row>
    <row r="1132" spans="1:4" x14ac:dyDescent="0.2">
      <c r="A1132" s="10">
        <v>1071</v>
      </c>
      <c r="D1132" s="2" t="str">
        <f t="shared" si="16"/>
        <v>OK</v>
      </c>
    </row>
    <row r="1133" spans="1:4" x14ac:dyDescent="0.2">
      <c r="A1133" s="5">
        <v>1072</v>
      </c>
      <c r="B1133" s="138">
        <f>'Expenditures 15-22'!K65</f>
        <v>244532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851891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92896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3472424</v>
      </c>
      <c r="C1152" s="2" t="s">
        <v>594</v>
      </c>
      <c r="D1152" s="2" t="str">
        <f t="shared" si="17"/>
        <v>Error?</v>
      </c>
    </row>
    <row r="1153" spans="1:4" x14ac:dyDescent="0.2">
      <c r="A1153" s="5">
        <v>1092</v>
      </c>
      <c r="B1153" s="138">
        <f>'Expenditures 15-22'!K115</f>
        <v>301883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150976</v>
      </c>
      <c r="D1221" s="2" t="str">
        <f t="shared" si="18"/>
        <v>Error?</v>
      </c>
    </row>
    <row r="1222" spans="1:4" x14ac:dyDescent="0.2">
      <c r="A1222" s="10">
        <v>1161</v>
      </c>
      <c r="D1222" s="2" t="str">
        <f t="shared" si="18"/>
        <v>OK</v>
      </c>
    </row>
    <row r="1223" spans="1:4" x14ac:dyDescent="0.2">
      <c r="A1223" s="5">
        <v>1162</v>
      </c>
      <c r="B1223" s="138">
        <f>'Expenditures 15-22'!C127</f>
        <v>150976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150976</v>
      </c>
      <c r="C1225" s="2" t="s">
        <v>594</v>
      </c>
      <c r="D1225" s="2" t="str">
        <f t="shared" si="18"/>
        <v>Error?</v>
      </c>
    </row>
    <row r="1226" spans="1:4" x14ac:dyDescent="0.2">
      <c r="A1226" s="5">
        <v>1165</v>
      </c>
      <c r="B1226" s="138">
        <f>'Expenditures 15-22'!C151</f>
        <v>150976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25873</v>
      </c>
      <c r="D1229" s="2" t="str">
        <f t="shared" si="18"/>
        <v>Error?</v>
      </c>
    </row>
    <row r="1230" spans="1:4" x14ac:dyDescent="0.2">
      <c r="A1230" s="10">
        <v>1169</v>
      </c>
      <c r="D1230" s="2" t="str">
        <f t="shared" si="18"/>
        <v>OK</v>
      </c>
    </row>
    <row r="1231" spans="1:4" x14ac:dyDescent="0.2">
      <c r="A1231" s="5">
        <v>1170</v>
      </c>
      <c r="B1231" s="138">
        <f>'Expenditures 15-22'!D127</f>
        <v>25873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25873</v>
      </c>
      <c r="C1233" s="2" t="s">
        <v>594</v>
      </c>
      <c r="D1233" s="2" t="str">
        <f t="shared" si="18"/>
        <v>Error?</v>
      </c>
    </row>
    <row r="1234" spans="1:4" x14ac:dyDescent="0.2">
      <c r="A1234" s="5">
        <v>1173</v>
      </c>
      <c r="B1234" s="138">
        <f>'Expenditures 15-22'!D151</f>
        <v>25873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100950</v>
      </c>
      <c r="D1237" s="2" t="str">
        <f t="shared" si="18"/>
        <v>Error?</v>
      </c>
    </row>
    <row r="1238" spans="1:4" x14ac:dyDescent="0.2">
      <c r="A1238" s="10">
        <v>1177</v>
      </c>
      <c r="D1238" s="2" t="str">
        <f t="shared" si="18"/>
        <v>OK</v>
      </c>
    </row>
    <row r="1239" spans="1:4" x14ac:dyDescent="0.2">
      <c r="A1239" s="5">
        <v>1178</v>
      </c>
      <c r="B1239" s="138">
        <f>'Expenditures 15-22'!E127</f>
        <v>100950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100950</v>
      </c>
      <c r="C1241" s="2" t="s">
        <v>594</v>
      </c>
      <c r="D1241" s="2" t="str">
        <f t="shared" si="18"/>
        <v>Error?</v>
      </c>
    </row>
    <row r="1242" spans="1:4" x14ac:dyDescent="0.2">
      <c r="A1242" s="5">
        <v>1181</v>
      </c>
      <c r="B1242" s="138">
        <f>'Expenditures 15-22'!E151</f>
        <v>110649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87973</v>
      </c>
      <c r="D1245" s="2" t="str">
        <f t="shared" si="18"/>
        <v>Error?</v>
      </c>
    </row>
    <row r="1246" spans="1:4" x14ac:dyDescent="0.2">
      <c r="A1246" s="10">
        <v>1185</v>
      </c>
      <c r="D1246" s="2" t="str">
        <f t="shared" si="18"/>
        <v>OK</v>
      </c>
    </row>
    <row r="1247" spans="1:4" x14ac:dyDescent="0.2">
      <c r="A1247" s="5">
        <v>1186</v>
      </c>
      <c r="B1247" s="138">
        <f>'Expenditures 15-22'!F127</f>
        <v>87973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87973</v>
      </c>
      <c r="C1249" s="2" t="s">
        <v>594</v>
      </c>
      <c r="D1249" s="2" t="str">
        <f t="shared" si="18"/>
        <v>Error?</v>
      </c>
    </row>
    <row r="1250" spans="1:4" x14ac:dyDescent="0.2">
      <c r="A1250" s="5">
        <v>1189</v>
      </c>
      <c r="B1250" s="138">
        <f>'Expenditures 15-22'!F151</f>
        <v>87973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63325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63325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63325</v>
      </c>
      <c r="C1258" s="2" t="s">
        <v>594</v>
      </c>
      <c r="D1258" s="2" t="str">
        <f t="shared" si="18"/>
        <v>Error?</v>
      </c>
    </row>
    <row r="1259" spans="1:4" x14ac:dyDescent="0.2">
      <c r="A1259" s="5">
        <v>1198</v>
      </c>
      <c r="B1259" s="138">
        <f>'Expenditures 15-22'!G151</f>
        <v>63325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429097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429097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429097</v>
      </c>
      <c r="C1281" s="2" t="s">
        <v>594</v>
      </c>
      <c r="D1281" s="2" t="str">
        <f t="shared" si="19"/>
        <v>Error?</v>
      </c>
    </row>
    <row r="1282" spans="1:4" x14ac:dyDescent="0.2">
      <c r="A1282" s="5">
        <v>1221</v>
      </c>
      <c r="B1282" s="138">
        <f>'Expenditures 15-22'!K139</f>
        <v>9699</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438796</v>
      </c>
      <c r="C1288" s="2" t="s">
        <v>594</v>
      </c>
      <c r="D1288" s="2" t="str">
        <f t="shared" si="19"/>
        <v>Error?</v>
      </c>
    </row>
    <row r="1289" spans="1:4" x14ac:dyDescent="0.2">
      <c r="A1289" s="5">
        <v>1228</v>
      </c>
      <c r="B1289" s="138">
        <f>'Expenditures 15-22'!K152</f>
        <v>17399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131469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131469</v>
      </c>
      <c r="C1339" s="2" t="s">
        <v>594</v>
      </c>
      <c r="D1339" s="2" t="str">
        <f t="shared" si="19"/>
        <v>Error?</v>
      </c>
    </row>
    <row r="1340" spans="1:4" x14ac:dyDescent="0.2">
      <c r="A1340" s="5">
        <v>1279</v>
      </c>
      <c r="B1340" s="138">
        <f>'Expenditures 15-22'!C210</f>
        <v>131469</v>
      </c>
      <c r="C1340" s="2" t="s">
        <v>594</v>
      </c>
      <c r="D1340" s="2" t="str">
        <f t="shared" si="19"/>
        <v>Error?</v>
      </c>
    </row>
    <row r="1341" spans="1:4" x14ac:dyDescent="0.2">
      <c r="A1341" s="5">
        <v>1280</v>
      </c>
      <c r="B1341" s="138">
        <f>'Expenditures 15-22'!D182</f>
        <v>8529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8529</v>
      </c>
      <c r="C1345" s="2" t="s">
        <v>594</v>
      </c>
      <c r="D1345" s="2" t="str">
        <f t="shared" si="20"/>
        <v>Error?</v>
      </c>
    </row>
    <row r="1346" spans="1:4" x14ac:dyDescent="0.2">
      <c r="A1346" s="5">
        <v>1285</v>
      </c>
      <c r="B1346" s="138">
        <f>'Expenditures 15-22'!D210</f>
        <v>8529</v>
      </c>
      <c r="C1346" s="2" t="s">
        <v>594</v>
      </c>
      <c r="D1346" s="2" t="str">
        <f t="shared" si="20"/>
        <v>Error?</v>
      </c>
    </row>
    <row r="1347" spans="1:4" x14ac:dyDescent="0.2">
      <c r="A1347" s="5">
        <v>1286</v>
      </c>
      <c r="B1347" s="138">
        <f>'Expenditures 15-22'!E182</f>
        <v>30718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30718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30718</v>
      </c>
      <c r="C1353" s="2" t="s">
        <v>594</v>
      </c>
      <c r="D1353" s="2" t="str">
        <f t="shared" si="20"/>
        <v>Error?</v>
      </c>
    </row>
    <row r="1354" spans="1:4" x14ac:dyDescent="0.2">
      <c r="A1354" s="5">
        <v>1293</v>
      </c>
      <c r="B1354" s="138">
        <f>'Expenditures 15-22'!F182</f>
        <v>32491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32491</v>
      </c>
      <c r="C1358" s="2" t="s">
        <v>594</v>
      </c>
      <c r="D1358" s="2" t="str">
        <f t="shared" si="20"/>
        <v>Error?</v>
      </c>
    </row>
    <row r="1359" spans="1:4" x14ac:dyDescent="0.2">
      <c r="A1359" s="5">
        <v>1298</v>
      </c>
      <c r="B1359" s="138">
        <f>'Expenditures 15-22'!F210</f>
        <v>32491</v>
      </c>
      <c r="C1359" s="2" t="s">
        <v>594</v>
      </c>
      <c r="D1359" s="2" t="str">
        <f t="shared" si="20"/>
        <v>Error?</v>
      </c>
    </row>
    <row r="1360" spans="1:4" x14ac:dyDescent="0.2">
      <c r="A1360" s="5">
        <v>1299</v>
      </c>
      <c r="B1360" s="138">
        <f>'Expenditures 15-22'!G182</f>
        <v>98379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98379</v>
      </c>
      <c r="C1364" s="2" t="s">
        <v>594</v>
      </c>
      <c r="D1364" s="2" t="str">
        <f t="shared" si="20"/>
        <v>Error?</v>
      </c>
    </row>
    <row r="1365" spans="1:4" x14ac:dyDescent="0.2">
      <c r="A1365" s="5">
        <v>1304</v>
      </c>
      <c r="B1365" s="138">
        <f>'Expenditures 15-22'!G210</f>
        <v>98379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301586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301586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301586</v>
      </c>
      <c r="C1388" s="2" t="s">
        <v>594</v>
      </c>
      <c r="D1388" s="2" t="str">
        <f t="shared" si="20"/>
        <v>Error?</v>
      </c>
    </row>
    <row r="1389" spans="1:4" x14ac:dyDescent="0.2">
      <c r="A1389" s="5">
        <v>1328</v>
      </c>
      <c r="B1389" s="138">
        <f>'Expenditures 15-22'!K211</f>
        <v>131898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2144</v>
      </c>
      <c r="D1407" s="2" t="str">
        <f t="shared" ref="D1407:D1470" si="21">IF(ISBLANK(B1407),"OK",IF(A1407-B1407=0,"OK","Error?"))</f>
        <v>Error?</v>
      </c>
    </row>
    <row r="1408" spans="1:4" x14ac:dyDescent="0.2">
      <c r="A1408" s="5">
        <v>1347</v>
      </c>
      <c r="B1408" s="138">
        <f>'Expenditures 15-22'!D223</f>
        <v>3390</v>
      </c>
      <c r="D1408" s="2" t="str">
        <f t="shared" si="21"/>
        <v>Error?</v>
      </c>
    </row>
    <row r="1409" spans="1:4" x14ac:dyDescent="0.2">
      <c r="A1409" s="5">
        <v>1348</v>
      </c>
      <c r="B1409" s="138">
        <f>'Expenditures 15-22'!D224</f>
        <v>110</v>
      </c>
      <c r="D1409" s="2" t="str">
        <f t="shared" si="21"/>
        <v>Error?</v>
      </c>
    </row>
    <row r="1410" spans="1:4" x14ac:dyDescent="0.2">
      <c r="A1410" s="5">
        <v>1349</v>
      </c>
      <c r="B1410" s="138">
        <f>'Expenditures 15-22'!D229</f>
        <v>47334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907</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910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1817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1061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1061</v>
      </c>
      <c r="C1421" s="2" t="s">
        <v>594</v>
      </c>
      <c r="D1421" s="2" t="str">
        <f t="shared" si="21"/>
        <v>Error?</v>
      </c>
    </row>
    <row r="1422" spans="1:4" x14ac:dyDescent="0.2">
      <c r="A1422" s="5">
        <v>1361</v>
      </c>
      <c r="B1422" s="138">
        <f>'Expenditures 15-22'!D245</f>
        <v>172</v>
      </c>
      <c r="D1422" s="2" t="str">
        <f t="shared" si="21"/>
        <v>Error?</v>
      </c>
    </row>
    <row r="1423" spans="1:4" x14ac:dyDescent="0.2">
      <c r="A1423" s="5">
        <v>1362</v>
      </c>
      <c r="B1423" s="138">
        <f>'Expenditures 15-22'!D246</f>
        <v>1092</v>
      </c>
      <c r="D1423" s="2" t="str">
        <f t="shared" si="21"/>
        <v>Error?</v>
      </c>
    </row>
    <row r="1424" spans="1:4" x14ac:dyDescent="0.2">
      <c r="A1424" s="5">
        <v>1363</v>
      </c>
      <c r="B1424" s="138">
        <f>'Expenditures 15-22'!D257</f>
        <v>1264</v>
      </c>
      <c r="C1424" s="2" t="s">
        <v>594</v>
      </c>
      <c r="D1424" s="2" t="str">
        <f t="shared" si="21"/>
        <v>Error?</v>
      </c>
    </row>
    <row r="1425" spans="1:4" x14ac:dyDescent="0.2">
      <c r="A1425" s="5">
        <v>1364</v>
      </c>
      <c r="B1425" s="138">
        <f>'Expenditures 15-22'!D259</f>
        <v>9627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9627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9048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29013</v>
      </c>
      <c r="D1431" s="2" t="str">
        <f t="shared" si="21"/>
        <v>Error?</v>
      </c>
    </row>
    <row r="1432" spans="1:4" x14ac:dyDescent="0.2">
      <c r="A1432" s="5">
        <v>1371</v>
      </c>
      <c r="B1432" s="138">
        <f>'Expenditures 15-22'!D267</f>
        <v>18554</v>
      </c>
      <c r="D1432" s="2" t="str">
        <f t="shared" si="21"/>
        <v>Error?</v>
      </c>
    </row>
    <row r="1433" spans="1:4" x14ac:dyDescent="0.2">
      <c r="A1433" s="5">
        <v>1372</v>
      </c>
      <c r="B1433" s="138">
        <f>'Expenditures 15-22'!D268</f>
        <v>9660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66275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80044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127378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2144</v>
      </c>
      <c r="C1471" s="2" t="s">
        <v>594</v>
      </c>
      <c r="D1471" s="2" t="str">
        <f t="shared" ref="D1471:D1534" si="22">IF(ISBLANK(B1471),"OK",IF(A1471-B1471=0,"OK","Error?"))</f>
        <v>Error?</v>
      </c>
    </row>
    <row r="1472" spans="1:4" x14ac:dyDescent="0.2">
      <c r="A1472" s="5">
        <v>1411</v>
      </c>
      <c r="B1472" s="138">
        <f>'Expenditures 15-22'!K223</f>
        <v>3390</v>
      </c>
      <c r="C1472" s="2" t="s">
        <v>594</v>
      </c>
      <c r="D1472" s="2" t="str">
        <f t="shared" si="22"/>
        <v>Error?</v>
      </c>
    </row>
    <row r="1473" spans="1:4" x14ac:dyDescent="0.2">
      <c r="A1473" s="5">
        <v>1412</v>
      </c>
      <c r="B1473" s="138">
        <f>'Expenditures 15-22'!K224</f>
        <v>110</v>
      </c>
      <c r="C1473" s="2" t="s">
        <v>594</v>
      </c>
      <c r="D1473" s="2" t="str">
        <f t="shared" si="22"/>
        <v>Error?</v>
      </c>
    </row>
    <row r="1474" spans="1:4" x14ac:dyDescent="0.2">
      <c r="A1474" s="5">
        <v>1413</v>
      </c>
      <c r="B1474" s="138">
        <f>'Expenditures 15-22'!K229</f>
        <v>47334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907</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910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1817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1061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1061</v>
      </c>
      <c r="C1485" s="2" t="s">
        <v>594</v>
      </c>
      <c r="D1485" s="2" t="str">
        <f t="shared" si="22"/>
        <v>Error?</v>
      </c>
    </row>
    <row r="1486" spans="1:4" x14ac:dyDescent="0.2">
      <c r="A1486" s="5">
        <v>1425</v>
      </c>
      <c r="B1486" s="138">
        <f>'Expenditures 15-22'!K245</f>
        <v>172</v>
      </c>
      <c r="C1486" s="2" t="s">
        <v>594</v>
      </c>
      <c r="D1486" s="2" t="str">
        <f t="shared" si="22"/>
        <v>Error?</v>
      </c>
    </row>
    <row r="1487" spans="1:4" x14ac:dyDescent="0.2">
      <c r="A1487" s="5">
        <v>1426</v>
      </c>
      <c r="B1487" s="138">
        <f>'Expenditures 15-22'!K246</f>
        <v>1092</v>
      </c>
      <c r="C1487" s="2" t="s">
        <v>594</v>
      </c>
      <c r="D1487" s="2" t="str">
        <f t="shared" si="22"/>
        <v>Error?</v>
      </c>
    </row>
    <row r="1488" spans="1:4" x14ac:dyDescent="0.2">
      <c r="A1488" s="5">
        <v>1427</v>
      </c>
      <c r="B1488" s="138">
        <f>'Expenditures 15-22'!K257</f>
        <v>1264</v>
      </c>
      <c r="C1488" s="2" t="s">
        <v>594</v>
      </c>
      <c r="D1488" s="2" t="str">
        <f t="shared" si="22"/>
        <v>Error?</v>
      </c>
    </row>
    <row r="1489" spans="1:4" x14ac:dyDescent="0.2">
      <c r="A1489" s="5">
        <v>1428</v>
      </c>
      <c r="B1489" s="138">
        <f>'Expenditures 15-22'!K259</f>
        <v>9627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9627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9048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29013</v>
      </c>
      <c r="C1495" s="2" t="s">
        <v>594</v>
      </c>
      <c r="D1495" s="2" t="str">
        <f t="shared" si="22"/>
        <v>Error?</v>
      </c>
    </row>
    <row r="1496" spans="1:4" x14ac:dyDescent="0.2">
      <c r="A1496" s="5">
        <v>1435</v>
      </c>
      <c r="B1496" s="138">
        <f>'Expenditures 15-22'!K267</f>
        <v>18554</v>
      </c>
      <c r="C1496" s="2" t="s">
        <v>594</v>
      </c>
      <c r="D1496" s="2" t="str">
        <f t="shared" si="22"/>
        <v>Error?</v>
      </c>
    </row>
    <row r="1497" spans="1:4" x14ac:dyDescent="0.2">
      <c r="A1497" s="5">
        <v>1436</v>
      </c>
      <c r="B1497" s="138">
        <f>'Expenditures 15-22'!K268</f>
        <v>9660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66275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80044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127378</v>
      </c>
      <c r="C1517" s="2" t="s">
        <v>594</v>
      </c>
      <c r="D1517" s="2" t="str">
        <f t="shared" si="22"/>
        <v>Error?</v>
      </c>
    </row>
    <row r="1518" spans="1:4" x14ac:dyDescent="0.2">
      <c r="A1518" s="5">
        <v>1457</v>
      </c>
      <c r="B1518" s="138">
        <f>'Expenditures 15-22'!K296</f>
        <v>20661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166110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166110</v>
      </c>
      <c r="C1547" s="2" t="s">
        <v>594</v>
      </c>
      <c r="D1547" s="2" t="str">
        <f t="shared" si="23"/>
        <v>Error?</v>
      </c>
    </row>
    <row r="1548" spans="1:4" x14ac:dyDescent="0.2">
      <c r="A1548" s="5">
        <v>1487</v>
      </c>
      <c r="B1548" s="138">
        <f>'Expenditures 15-22'!G312</f>
        <v>166110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166110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166110</v>
      </c>
      <c r="C1559" s="2" t="s">
        <v>594</v>
      </c>
      <c r="D1559" s="2" t="str">
        <f t="shared" si="23"/>
        <v>Error?</v>
      </c>
    </row>
    <row r="1560" spans="1:4" x14ac:dyDescent="0.2">
      <c r="A1560" s="5">
        <v>1499</v>
      </c>
      <c r="B1560" s="138">
        <f>'Expenditures 15-22'!K312</f>
        <v>166110</v>
      </c>
      <c r="C1560" s="2" t="s">
        <v>594</v>
      </c>
      <c r="D1560" s="2" t="str">
        <f t="shared" si="23"/>
        <v>Error?</v>
      </c>
    </row>
    <row r="1561" spans="1:4" x14ac:dyDescent="0.2">
      <c r="A1561" s="5">
        <v>1500</v>
      </c>
      <c r="B1561" s="138">
        <f>'Expenditures 15-22'!K313</f>
        <v>-23447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6550054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6851937</v>
      </c>
      <c r="C1630" s="2" t="s">
        <v>594</v>
      </c>
      <c r="D1630" s="2" t="str">
        <f t="shared" si="24"/>
        <v>Error?</v>
      </c>
    </row>
    <row r="1631" spans="1:4" x14ac:dyDescent="0.2">
      <c r="A1631" s="5">
        <v>1570</v>
      </c>
      <c r="B1631" s="138">
        <f>'Acct Summary 7-8'!D79</f>
        <v>1832985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1850384</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1470532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1605430</v>
      </c>
      <c r="C1672" s="2" t="s">
        <v>594</v>
      </c>
      <c r="D1672" s="2" t="str">
        <f t="shared" si="25"/>
        <v>Error?</v>
      </c>
    </row>
    <row r="1673" spans="1:4" x14ac:dyDescent="0.2">
      <c r="A1673" s="5">
        <v>1612</v>
      </c>
      <c r="B1673" s="138">
        <f>'Acct Summary 7-8'!G79</f>
        <v>354116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374777</v>
      </c>
      <c r="C1686" s="2" t="s">
        <v>594</v>
      </c>
      <c r="D1686" s="2" t="str">
        <f t="shared" si="25"/>
        <v>Error?</v>
      </c>
    </row>
    <row r="1687" spans="1:4" x14ac:dyDescent="0.2">
      <c r="A1687" s="5">
        <v>1626</v>
      </c>
      <c r="B1687" s="138">
        <f>'Acct Summary 7-8'!H79</f>
        <v>321913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298466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3033437</v>
      </c>
      <c r="C1744" s="2" t="s">
        <v>594</v>
      </c>
      <c r="D1744" s="2" t="str">
        <f t="shared" si="26"/>
        <v>Error?</v>
      </c>
    </row>
    <row r="1745" spans="1:5" x14ac:dyDescent="0.2">
      <c r="A1745" s="5">
        <v>1684</v>
      </c>
      <c r="B1745" s="138">
        <f>'Tax Sched 23'!B5</f>
        <v>443533</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324471</v>
      </c>
      <c r="C1747" s="2" t="s">
        <v>594</v>
      </c>
      <c r="D1747" s="2" t="str">
        <f t="shared" si="26"/>
        <v>Error?</v>
      </c>
    </row>
    <row r="1748" spans="1:5" x14ac:dyDescent="0.2">
      <c r="A1748" s="5">
        <v>1687</v>
      </c>
      <c r="B1748" s="138">
        <f>'Tax Sched 23'!B8</f>
        <v>65127</v>
      </c>
      <c r="C1748" s="2" t="s">
        <v>594</v>
      </c>
      <c r="D1748" s="2" t="str">
        <f t="shared" si="26"/>
        <v>Error?</v>
      </c>
    </row>
    <row r="1749" spans="1:5" x14ac:dyDescent="0.2">
      <c r="A1749" s="5">
        <v>1688</v>
      </c>
      <c r="B1749" s="138">
        <f>'Tax Sched 23'!B10</f>
        <v>4064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88256</v>
      </c>
      <c r="C1752" s="2" t="s">
        <v>594</v>
      </c>
      <c r="D1752" s="2" t="str">
        <f t="shared" si="26"/>
        <v>Error?</v>
      </c>
    </row>
    <row r="1753" spans="1:5" x14ac:dyDescent="0.2">
      <c r="A1753" s="5">
        <v>1692</v>
      </c>
      <c r="B1753" s="138">
        <f>'Tax Sched 23'!B12</f>
        <v>5041</v>
      </c>
      <c r="C1753" s="2" t="s">
        <v>594</v>
      </c>
      <c r="D1753" s="2" t="str">
        <f t="shared" si="26"/>
        <v>Error?</v>
      </c>
    </row>
    <row r="1754" spans="1:5" x14ac:dyDescent="0.2">
      <c r="A1754" s="5">
        <v>1693</v>
      </c>
      <c r="B1754" s="138">
        <f>'Tax Sched 23'!B14</f>
        <v>52677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4131636</v>
      </c>
      <c r="C1759" s="2" t="s">
        <v>594</v>
      </c>
      <c r="D1759" s="2" t="str">
        <f t="shared" si="26"/>
        <v>Error?</v>
      </c>
    </row>
    <row r="1760" spans="1:5" x14ac:dyDescent="0.2">
      <c r="A1760" s="5">
        <v>1699</v>
      </c>
      <c r="B1760" s="138">
        <f>'Tax Sched 23'!D4</f>
        <v>2409437</v>
      </c>
      <c r="C1760" s="2" t="s">
        <v>594</v>
      </c>
      <c r="D1760" s="2" t="str">
        <f t="shared" si="26"/>
        <v>Error?</v>
      </c>
    </row>
    <row r="1761" spans="1:5" x14ac:dyDescent="0.2">
      <c r="A1761" s="5">
        <v>1700</v>
      </c>
      <c r="B1761" s="138">
        <f>'Tax Sched 23'!D5</f>
        <v>308414</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254446</v>
      </c>
      <c r="C1763" s="2" t="s">
        <v>594</v>
      </c>
      <c r="D1763" s="2" t="str">
        <f t="shared" si="26"/>
        <v>Error?</v>
      </c>
    </row>
    <row r="1764" spans="1:5" x14ac:dyDescent="0.2">
      <c r="A1764" s="5">
        <v>1703</v>
      </c>
      <c r="B1764" s="138">
        <f>'Tax Sched 23'!D8</f>
        <v>55522</v>
      </c>
      <c r="C1764" s="2" t="s">
        <v>594</v>
      </c>
      <c r="D1764" s="2" t="str">
        <f t="shared" si="26"/>
        <v>Error?</v>
      </c>
    </row>
    <row r="1765" spans="1:5" x14ac:dyDescent="0.2">
      <c r="A1765" s="5">
        <v>1704</v>
      </c>
      <c r="B1765" s="138">
        <f>'Tax Sched 23'!D10</f>
        <v>3862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73249</v>
      </c>
      <c r="C1768" s="2" t="s">
        <v>594</v>
      </c>
      <c r="D1768" s="2" t="str">
        <f t="shared" si="26"/>
        <v>Error?</v>
      </c>
    </row>
    <row r="1769" spans="1:5" x14ac:dyDescent="0.2">
      <c r="A1769" s="5">
        <v>1708</v>
      </c>
      <c r="B1769" s="138">
        <f>'Tax Sched 23'!D12</f>
        <v>4640</v>
      </c>
      <c r="C1769" s="2" t="s">
        <v>594</v>
      </c>
      <c r="D1769" s="2" t="str">
        <f t="shared" si="26"/>
        <v>Error?</v>
      </c>
    </row>
    <row r="1770" spans="1:5" x14ac:dyDescent="0.2">
      <c r="A1770" s="5">
        <v>1709</v>
      </c>
      <c r="B1770" s="138">
        <f>'Tax Sched 23'!D14</f>
        <v>46272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3251461</v>
      </c>
      <c r="C1775" s="2" t="s">
        <v>594</v>
      </c>
      <c r="D1775" s="2" t="str">
        <f t="shared" si="26"/>
        <v>Error?</v>
      </c>
    </row>
    <row r="1776" spans="1:5" x14ac:dyDescent="0.2">
      <c r="A1776" s="5">
        <v>1715</v>
      </c>
      <c r="B1776" s="138">
        <f>'Tax Sched 23'!C4</f>
        <v>624000</v>
      </c>
      <c r="D1776" s="2" t="str">
        <f t="shared" si="26"/>
        <v>Error?</v>
      </c>
    </row>
    <row r="1777" spans="1:4" x14ac:dyDescent="0.2">
      <c r="A1777" s="5">
        <v>1716</v>
      </c>
      <c r="B1777" s="138">
        <f>'Tax Sched 23'!C5</f>
        <v>135119</v>
      </c>
      <c r="D1777" s="2" t="str">
        <f t="shared" si="26"/>
        <v>Error?</v>
      </c>
    </row>
    <row r="1778" spans="1:4" x14ac:dyDescent="0.2">
      <c r="A1778" s="5">
        <v>1717</v>
      </c>
      <c r="B1778" s="138">
        <f>'Tax Sched 23'!C6</f>
        <v>0</v>
      </c>
      <c r="D1778" s="2" t="str">
        <f t="shared" si="26"/>
        <v>Error?</v>
      </c>
    </row>
    <row r="1779" spans="1:4" x14ac:dyDescent="0.2">
      <c r="A1779" s="5">
        <v>1718</v>
      </c>
      <c r="B1779" s="138">
        <f>'Tax Sched 23'!C7</f>
        <v>70025</v>
      </c>
      <c r="D1779" s="2" t="str">
        <f t="shared" si="26"/>
        <v>Error?</v>
      </c>
    </row>
    <row r="1780" spans="1:4" x14ac:dyDescent="0.2">
      <c r="A1780" s="5">
        <v>1719</v>
      </c>
      <c r="B1780" s="138">
        <f>'Tax Sched 23'!C8</f>
        <v>9605</v>
      </c>
      <c r="D1780" s="2" t="str">
        <f t="shared" si="26"/>
        <v>Error?</v>
      </c>
    </row>
    <row r="1781" spans="1:4" x14ac:dyDescent="0.2">
      <c r="A1781" s="5">
        <v>1720</v>
      </c>
      <c r="B1781" s="138">
        <f>'Tax Sched 23'!C10</f>
        <v>202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15007</v>
      </c>
      <c r="D1784" s="2" t="str">
        <f t="shared" si="26"/>
        <v>Error?</v>
      </c>
    </row>
    <row r="1785" spans="1:4" x14ac:dyDescent="0.2">
      <c r="A1785" s="5">
        <v>1724</v>
      </c>
      <c r="B1785" s="138">
        <f>'Tax Sched 23'!C12</f>
        <v>401</v>
      </c>
      <c r="D1785" s="2" t="str">
        <f t="shared" si="26"/>
        <v>Error?</v>
      </c>
    </row>
    <row r="1786" spans="1:4" x14ac:dyDescent="0.2">
      <c r="A1786" s="5">
        <v>1725</v>
      </c>
      <c r="B1786" s="138">
        <f>'Tax Sched 23'!C14</f>
        <v>6405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880175</v>
      </c>
      <c r="C1791" s="2" t="s">
        <v>594</v>
      </c>
      <c r="D1791" s="2" t="str">
        <f t="shared" ref="D1791:D1854" si="27">IF(ISBLANK(B1791),"OK",IF(A1791-B1791=0,"OK","Error?"))</f>
        <v>Error?</v>
      </c>
    </row>
    <row r="1792" spans="1:4" x14ac:dyDescent="0.2">
      <c r="A1792" s="5">
        <v>1731</v>
      </c>
      <c r="B1792" s="138">
        <f>'Tax Sched 23'!F4</f>
        <v>2361790</v>
      </c>
      <c r="C1792" s="2" t="s">
        <v>594</v>
      </c>
      <c r="D1792" s="2" t="str">
        <f t="shared" si="27"/>
        <v>Error?</v>
      </c>
    </row>
    <row r="1793" spans="1:4" x14ac:dyDescent="0.2">
      <c r="A1793" s="5">
        <v>1732</v>
      </c>
      <c r="B1793" s="138">
        <f>'Tax Sched 23'!F5</f>
        <v>511417</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265039</v>
      </c>
      <c r="C1795" s="2" t="s">
        <v>594</v>
      </c>
      <c r="D1795" s="2" t="str">
        <f t="shared" si="27"/>
        <v>Error?</v>
      </c>
    </row>
    <row r="1796" spans="1:4" x14ac:dyDescent="0.2">
      <c r="A1796" s="5">
        <v>1735</v>
      </c>
      <c r="B1796" s="138">
        <f>'Tax Sched 23'!F8</f>
        <v>36355</v>
      </c>
      <c r="C1796" s="2" t="s">
        <v>594</v>
      </c>
      <c r="D1796" s="2" t="str">
        <f t="shared" si="27"/>
        <v>Error?</v>
      </c>
    </row>
    <row r="1797" spans="1:4" x14ac:dyDescent="0.2">
      <c r="A1797" s="5">
        <v>1736</v>
      </c>
      <c r="B1797" s="138">
        <f>'Tax Sched 23'!F10</f>
        <v>764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56801</v>
      </c>
      <c r="C1800" s="2" t="s">
        <v>594</v>
      </c>
      <c r="D1800" s="2" t="str">
        <f t="shared" si="27"/>
        <v>Error?</v>
      </c>
    </row>
    <row r="1801" spans="1:4" x14ac:dyDescent="0.2">
      <c r="A1801" s="5">
        <v>1740</v>
      </c>
      <c r="B1801" s="138">
        <f>'Tax Sched 23'!F12</f>
        <v>1520</v>
      </c>
      <c r="C1801" s="2" t="s">
        <v>594</v>
      </c>
      <c r="D1801" s="2" t="str">
        <f t="shared" si="27"/>
        <v>Error?</v>
      </c>
    </row>
    <row r="1802" spans="1:4" x14ac:dyDescent="0.2">
      <c r="A1802" s="5">
        <v>1741</v>
      </c>
      <c r="B1802" s="138">
        <f>'Tax Sched 23'!F14</f>
        <v>24241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3331392</v>
      </c>
      <c r="C1807" s="2" t="s">
        <v>594</v>
      </c>
      <c r="D1807" s="2" t="str">
        <f t="shared" si="27"/>
        <v>Error?</v>
      </c>
    </row>
    <row r="1808" spans="1:4" x14ac:dyDescent="0.2">
      <c r="A1808" s="5">
        <v>1747</v>
      </c>
      <c r="B1808" s="138">
        <f>'Tax Sched 23'!E4</f>
        <v>2985790</v>
      </c>
      <c r="D1808" s="2" t="str">
        <f t="shared" si="27"/>
        <v>Error?</v>
      </c>
    </row>
    <row r="1809" spans="1:4" x14ac:dyDescent="0.2">
      <c r="A1809" s="5">
        <v>1748</v>
      </c>
      <c r="B1809" s="138">
        <f>'Tax Sched 23'!E5</f>
        <v>646536</v>
      </c>
      <c r="D1809" s="2" t="str">
        <f t="shared" si="27"/>
        <v>Error?</v>
      </c>
    </row>
    <row r="1810" spans="1:4" x14ac:dyDescent="0.2">
      <c r="A1810" s="5">
        <v>1749</v>
      </c>
      <c r="B1810" s="138">
        <f>'Tax Sched 23'!E6</f>
        <v>0</v>
      </c>
      <c r="D1810" s="2" t="str">
        <f t="shared" si="27"/>
        <v>Error?</v>
      </c>
    </row>
    <row r="1811" spans="1:4" x14ac:dyDescent="0.2">
      <c r="A1811" s="5">
        <v>1750</v>
      </c>
      <c r="B1811" s="138">
        <f>'Tax Sched 23'!E7</f>
        <v>335064</v>
      </c>
      <c r="D1811" s="2" t="str">
        <f t="shared" si="27"/>
        <v>Error?</v>
      </c>
    </row>
    <row r="1812" spans="1:4" x14ac:dyDescent="0.2">
      <c r="A1812" s="5">
        <v>1751</v>
      </c>
      <c r="B1812" s="138">
        <f>'Tax Sched 23'!E8</f>
        <v>45960</v>
      </c>
      <c r="D1812" s="2" t="str">
        <f t="shared" si="27"/>
        <v>Error?</v>
      </c>
    </row>
    <row r="1813" spans="1:4" x14ac:dyDescent="0.2">
      <c r="A1813" s="5">
        <v>1752</v>
      </c>
      <c r="B1813" s="138">
        <f>'Tax Sched 23'!E10</f>
        <v>966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71808</v>
      </c>
      <c r="D1816" s="2" t="str">
        <f t="shared" si="27"/>
        <v>Error?</v>
      </c>
    </row>
    <row r="1817" spans="1:4" x14ac:dyDescent="0.2">
      <c r="A1817" s="5">
        <v>1756</v>
      </c>
      <c r="B1817" s="138">
        <f>'Tax Sched 23'!E12</f>
        <v>1921</v>
      </c>
      <c r="D1817" s="2" t="str">
        <f t="shared" si="27"/>
        <v>Error?</v>
      </c>
    </row>
    <row r="1818" spans="1:4" x14ac:dyDescent="0.2">
      <c r="A1818" s="5">
        <v>1757</v>
      </c>
      <c r="B1818" s="138">
        <f>'Tax Sched 23'!E14</f>
        <v>30646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4211567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52677</v>
      </c>
      <c r="D1972" s="2" t="str">
        <f t="shared" si="29"/>
        <v>Error?</v>
      </c>
    </row>
    <row r="1973" spans="1:5" x14ac:dyDescent="0.2">
      <c r="A1973" s="5">
        <v>1912</v>
      </c>
      <c r="B1973" s="138">
        <f>'Rest Tax Levies-Tort Im 25'!H6</f>
        <v>31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52708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52708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67197</v>
      </c>
      <c r="D2008" s="2" t="str">
        <f t="shared" si="30"/>
        <v>Error?</v>
      </c>
    </row>
    <row r="2009" spans="1:4" x14ac:dyDescent="0.2">
      <c r="A2009" s="5">
        <v>1948</v>
      </c>
      <c r="B2009" s="138">
        <f>'Cap Outlay Deprec 26'!C8</f>
        <v>6059464</v>
      </c>
      <c r="D2009" s="2" t="str">
        <f t="shared" si="30"/>
        <v>Error?</v>
      </c>
    </row>
    <row r="2010" spans="1:4" x14ac:dyDescent="0.2">
      <c r="A2010" s="5">
        <v>1949</v>
      </c>
      <c r="B2010" s="138">
        <f>'Cap Outlay Deprec 26'!C10</f>
        <v>26006</v>
      </c>
      <c r="D2010" s="2" t="str">
        <f t="shared" si="30"/>
        <v>Error?</v>
      </c>
    </row>
    <row r="2011" spans="1:4" x14ac:dyDescent="0.2">
      <c r="A2011" s="5">
        <v>1950</v>
      </c>
      <c r="B2011" s="138">
        <f>'Cap Outlay Deprec 26'!C12</f>
        <v>1538713</v>
      </c>
      <c r="D2011" s="2" t="str">
        <f t="shared" si="30"/>
        <v>Error?</v>
      </c>
    </row>
    <row r="2012" spans="1:4" x14ac:dyDescent="0.2">
      <c r="A2012" s="5">
        <v>1951</v>
      </c>
      <c r="B2012" s="138">
        <f>'Cap Outlay Deprec 26'!C13</f>
        <v>641114</v>
      </c>
      <c r="D2012" s="2" t="str">
        <f t="shared" si="30"/>
        <v>Error?</v>
      </c>
    </row>
    <row r="2013" spans="1:4" x14ac:dyDescent="0.2">
      <c r="A2013" s="5">
        <v>1952</v>
      </c>
      <c r="B2013" s="138">
        <f>'Cap Outlay Deprec 26'!C16</f>
        <v>8332494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217820</v>
      </c>
      <c r="D2015" s="2" t="str">
        <f t="shared" si="30"/>
        <v>Error?</v>
      </c>
    </row>
    <row r="2016" spans="1:4" x14ac:dyDescent="0.2">
      <c r="A2016" s="5">
        <v>1955</v>
      </c>
      <c r="B2016" s="138">
        <f>'Cap Outlay Deprec 26'!D10</f>
        <v>4650</v>
      </c>
      <c r="D2016" s="2" t="str">
        <f t="shared" si="30"/>
        <v>Error?</v>
      </c>
    </row>
    <row r="2017" spans="1:4" x14ac:dyDescent="0.2">
      <c r="A2017" s="5">
        <v>1956</v>
      </c>
      <c r="B2017" s="138">
        <f>'Cap Outlay Deprec 26'!D12</f>
        <v>69642</v>
      </c>
      <c r="D2017" s="2" t="str">
        <f t="shared" si="30"/>
        <v>Error?</v>
      </c>
    </row>
    <row r="2018" spans="1:4" x14ac:dyDescent="0.2">
      <c r="A2018" s="5">
        <v>1957</v>
      </c>
      <c r="B2018" s="138">
        <f>'Cap Outlay Deprec 26'!D13</f>
        <v>133842</v>
      </c>
      <c r="D2018" s="2" t="str">
        <f t="shared" si="30"/>
        <v>Error?</v>
      </c>
    </row>
    <row r="2019" spans="1:4" x14ac:dyDescent="0.2">
      <c r="A2019" s="5">
        <v>1958</v>
      </c>
      <c r="B2019" s="138">
        <f>'Cap Outlay Deprec 26'!D16</f>
        <v>425954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75011</v>
      </c>
      <c r="D2023" s="2" t="str">
        <f t="shared" si="30"/>
        <v>Error?</v>
      </c>
    </row>
    <row r="2024" spans="1:4" x14ac:dyDescent="0.2">
      <c r="A2024" s="5">
        <v>1963</v>
      </c>
      <c r="B2024" s="138">
        <f>'Cap Outlay Deprec 26'!E13</f>
        <v>253118</v>
      </c>
      <c r="D2024" s="2" t="str">
        <f t="shared" si="30"/>
        <v>Error?</v>
      </c>
    </row>
    <row r="2025" spans="1:4" x14ac:dyDescent="0.2">
      <c r="A2025" s="5">
        <v>1964</v>
      </c>
      <c r="B2025" s="138">
        <f>'Cap Outlay Deprec 26'!E16</f>
        <v>328129</v>
      </c>
      <c r="C2025" s="2" t="s">
        <v>594</v>
      </c>
      <c r="D2025" s="2" t="str">
        <f t="shared" si="30"/>
        <v>Error?</v>
      </c>
    </row>
    <row r="2026" spans="1:4" x14ac:dyDescent="0.2">
      <c r="A2026" s="5">
        <v>1965</v>
      </c>
      <c r="B2026" s="138">
        <f>'Cap Outlay Deprec 26'!F5</f>
        <v>67197</v>
      </c>
      <c r="C2026" s="2" t="s">
        <v>594</v>
      </c>
      <c r="D2026" s="2" t="str">
        <f t="shared" si="30"/>
        <v>Error?</v>
      </c>
    </row>
    <row r="2027" spans="1:4" x14ac:dyDescent="0.2">
      <c r="A2027" s="5">
        <v>1966</v>
      </c>
      <c r="B2027" s="138">
        <f>'Cap Outlay Deprec 26'!F8</f>
        <v>6277284</v>
      </c>
      <c r="C2027" s="2" t="s">
        <v>594</v>
      </c>
      <c r="D2027" s="2" t="str">
        <f t="shared" si="30"/>
        <v>Error?</v>
      </c>
    </row>
    <row r="2028" spans="1:4" x14ac:dyDescent="0.2">
      <c r="A2028" s="5">
        <v>1967</v>
      </c>
      <c r="B2028" s="138">
        <f>'Cap Outlay Deprec 26'!F10</f>
        <v>30656</v>
      </c>
      <c r="C2028" s="2" t="s">
        <v>594</v>
      </c>
      <c r="D2028" s="2" t="str">
        <f t="shared" si="30"/>
        <v>Error?</v>
      </c>
    </row>
    <row r="2029" spans="1:4" x14ac:dyDescent="0.2">
      <c r="A2029" s="5">
        <v>1968</v>
      </c>
      <c r="B2029" s="138">
        <f>'Cap Outlay Deprec 26'!F12</f>
        <v>1533344</v>
      </c>
      <c r="C2029" s="2" t="s">
        <v>594</v>
      </c>
      <c r="D2029" s="2" t="str">
        <f t="shared" si="30"/>
        <v>Error?</v>
      </c>
    </row>
    <row r="2030" spans="1:4" x14ac:dyDescent="0.2">
      <c r="A2030" s="5">
        <v>1969</v>
      </c>
      <c r="B2030" s="138">
        <f>'Cap Outlay Deprec 26'!F13</f>
        <v>521838</v>
      </c>
      <c r="C2030" s="2" t="s">
        <v>594</v>
      </c>
      <c r="D2030" s="2" t="str">
        <f t="shared" si="30"/>
        <v>Error?</v>
      </c>
    </row>
    <row r="2031" spans="1:4" x14ac:dyDescent="0.2">
      <c r="A2031" s="5">
        <v>1970</v>
      </c>
      <c r="B2031" s="138">
        <f>'Cap Outlay Deprec 26'!F16</f>
        <v>8430319</v>
      </c>
      <c r="C2031" s="2" t="s">
        <v>594</v>
      </c>
      <c r="D2031" s="2" t="str">
        <f t="shared" si="30"/>
        <v>Error?</v>
      </c>
    </row>
    <row r="2032" spans="1:4" x14ac:dyDescent="0.2">
      <c r="A2032" s="10">
        <v>1971</v>
      </c>
      <c r="D2032" s="2" t="str">
        <f t="shared" si="30"/>
        <v>OK</v>
      </c>
    </row>
    <row r="2033" spans="1:4" x14ac:dyDescent="0.2">
      <c r="A2033" s="5">
        <v>1972</v>
      </c>
      <c r="B2033" s="138">
        <f>'Cap Outlay Deprec 26'!H8</f>
        <v>2755482</v>
      </c>
      <c r="D2033" s="2" t="str">
        <f t="shared" si="30"/>
        <v>Error?</v>
      </c>
    </row>
    <row r="2034" spans="1:4" x14ac:dyDescent="0.2">
      <c r="A2034" s="5">
        <v>1973</v>
      </c>
      <c r="B2034" s="138">
        <f>'Cap Outlay Deprec 26'!H10</f>
        <v>13720</v>
      </c>
      <c r="D2034" s="2" t="str">
        <f t="shared" si="30"/>
        <v>Error?</v>
      </c>
    </row>
    <row r="2035" spans="1:4" x14ac:dyDescent="0.2">
      <c r="A2035" s="5">
        <v>1974</v>
      </c>
      <c r="B2035" s="138">
        <f>'Cap Outlay Deprec 26'!H12</f>
        <v>801924</v>
      </c>
      <c r="D2035" s="2" t="str">
        <f t="shared" si="30"/>
        <v>Error?</v>
      </c>
    </row>
    <row r="2036" spans="1:4" x14ac:dyDescent="0.2">
      <c r="A2036" s="5">
        <v>1975</v>
      </c>
      <c r="B2036" s="138">
        <f>'Cap Outlay Deprec 26'!H13</f>
        <v>424017</v>
      </c>
      <c r="D2036" s="2" t="str">
        <f t="shared" si="30"/>
        <v>Error?</v>
      </c>
    </row>
    <row r="2037" spans="1:4" x14ac:dyDescent="0.2">
      <c r="A2037" s="5">
        <v>1976</v>
      </c>
      <c r="B2037" s="138">
        <f>'Cap Outlay Deprec 26'!H16</f>
        <v>3995143</v>
      </c>
      <c r="C2037" s="2" t="s">
        <v>594</v>
      </c>
      <c r="D2037" s="2" t="str">
        <f t="shared" si="30"/>
        <v>Error?</v>
      </c>
    </row>
    <row r="2038" spans="1:4" x14ac:dyDescent="0.2">
      <c r="A2038" s="10">
        <v>1977</v>
      </c>
      <c r="D2038" s="2" t="str">
        <f t="shared" si="30"/>
        <v>OK</v>
      </c>
    </row>
    <row r="2039" spans="1:4" x14ac:dyDescent="0.2">
      <c r="A2039" s="5">
        <v>1978</v>
      </c>
      <c r="B2039" s="138">
        <f>'Cap Outlay Deprec 26'!I8</f>
        <v>121266</v>
      </c>
      <c r="D2039" s="2" t="str">
        <f t="shared" si="30"/>
        <v>Error?</v>
      </c>
    </row>
    <row r="2040" spans="1:4" x14ac:dyDescent="0.2">
      <c r="A2040" s="5">
        <v>1979</v>
      </c>
      <c r="B2040" s="138">
        <f>'Cap Outlay Deprec 26'!I10</f>
        <v>1079</v>
      </c>
      <c r="D2040" s="2" t="str">
        <f t="shared" si="30"/>
        <v>Error?</v>
      </c>
    </row>
    <row r="2041" spans="1:4" x14ac:dyDescent="0.2">
      <c r="A2041" s="5">
        <v>1980</v>
      </c>
      <c r="B2041" s="138">
        <f>'Cap Outlay Deprec 26'!I12</f>
        <v>149051</v>
      </c>
      <c r="D2041" s="2" t="str">
        <f t="shared" si="30"/>
        <v>Error?</v>
      </c>
    </row>
    <row r="2042" spans="1:4" x14ac:dyDescent="0.2">
      <c r="A2042" s="5">
        <v>1981</v>
      </c>
      <c r="B2042" s="138">
        <f>'Cap Outlay Deprec 26'!I13</f>
        <v>89140</v>
      </c>
      <c r="D2042" s="2" t="str">
        <f t="shared" si="30"/>
        <v>Error?</v>
      </c>
    </row>
    <row r="2043" spans="1:4" x14ac:dyDescent="0.2">
      <c r="A2043" s="5">
        <v>1982</v>
      </c>
      <c r="B2043" s="138">
        <f>'Cap Outlay Deprec 26'!I16</f>
        <v>360536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75011</v>
      </c>
      <c r="D2047" s="2" t="str">
        <f t="shared" ref="D2047:D2110" si="31">IF(ISBLANK(B2047),"OK",IF(A2047-B2047=0,"OK","Error?"))</f>
        <v>Error?</v>
      </c>
    </row>
    <row r="2048" spans="1:4" x14ac:dyDescent="0.2">
      <c r="A2048" s="5">
        <v>1987</v>
      </c>
      <c r="B2048" s="138">
        <f>'Cap Outlay Deprec 26'!J13</f>
        <v>253118</v>
      </c>
      <c r="D2048" s="2" t="str">
        <f t="shared" si="31"/>
        <v>Error?</v>
      </c>
    </row>
    <row r="2049" spans="1:4" x14ac:dyDescent="0.2">
      <c r="A2049" s="5">
        <v>1988</v>
      </c>
      <c r="B2049" s="138">
        <f>'Cap Outlay Deprec 26'!J16</f>
        <v>328129</v>
      </c>
      <c r="C2049" s="2" t="s">
        <v>594</v>
      </c>
      <c r="D2049" s="2" t="str">
        <f t="shared" si="31"/>
        <v>Error?</v>
      </c>
    </row>
    <row r="2050" spans="1:4" x14ac:dyDescent="0.2">
      <c r="A2050" s="10">
        <v>1989</v>
      </c>
      <c r="D2050" s="2" t="str">
        <f t="shared" si="31"/>
        <v>OK</v>
      </c>
    </row>
    <row r="2051" spans="1:4" x14ac:dyDescent="0.2">
      <c r="A2051" s="5">
        <v>1990</v>
      </c>
      <c r="B2051" s="138">
        <f>'Cap Outlay Deprec 26'!K8</f>
        <v>2876748</v>
      </c>
      <c r="C2051" s="2" t="s">
        <v>594</v>
      </c>
      <c r="D2051" s="2" t="str">
        <f t="shared" si="31"/>
        <v>Error?</v>
      </c>
    </row>
    <row r="2052" spans="1:4" x14ac:dyDescent="0.2">
      <c r="A2052" s="5">
        <v>1991</v>
      </c>
      <c r="B2052" s="138">
        <f>'Cap Outlay Deprec 26'!K10</f>
        <v>14799</v>
      </c>
      <c r="C2052" s="2" t="s">
        <v>594</v>
      </c>
      <c r="D2052" s="2" t="str">
        <f t="shared" si="31"/>
        <v>Error?</v>
      </c>
    </row>
    <row r="2053" spans="1:4" x14ac:dyDescent="0.2">
      <c r="A2053" s="5">
        <v>1992</v>
      </c>
      <c r="B2053" s="138">
        <f>'Cap Outlay Deprec 26'!K12</f>
        <v>875964</v>
      </c>
      <c r="C2053" s="2" t="s">
        <v>594</v>
      </c>
      <c r="D2053" s="2" t="str">
        <f t="shared" si="31"/>
        <v>Error?</v>
      </c>
    </row>
    <row r="2054" spans="1:4" x14ac:dyDescent="0.2">
      <c r="A2054" s="5">
        <v>1993</v>
      </c>
      <c r="B2054" s="138">
        <f>'Cap Outlay Deprec 26'!K13</f>
        <v>260039</v>
      </c>
      <c r="C2054" s="2" t="s">
        <v>594</v>
      </c>
      <c r="D2054" s="2" t="str">
        <f t="shared" si="31"/>
        <v>Error?</v>
      </c>
    </row>
    <row r="2055" spans="1:4" x14ac:dyDescent="0.2">
      <c r="A2055" s="5">
        <v>1994</v>
      </c>
      <c r="B2055" s="138">
        <f>'Cap Outlay Deprec 26'!K16</f>
        <v>4027550</v>
      </c>
      <c r="C2055" s="2" t="s">
        <v>594</v>
      </c>
      <c r="D2055" s="2" t="str">
        <f t="shared" si="31"/>
        <v>Error?</v>
      </c>
    </row>
    <row r="2056" spans="1:4" x14ac:dyDescent="0.2">
      <c r="A2056" s="5">
        <v>1995</v>
      </c>
      <c r="B2056" s="138">
        <f>'Cap Outlay Deprec 26'!L5</f>
        <v>67197</v>
      </c>
      <c r="C2056" s="2" t="s">
        <v>594</v>
      </c>
      <c r="D2056" s="2" t="str">
        <f t="shared" si="31"/>
        <v>Error?</v>
      </c>
    </row>
    <row r="2057" spans="1:4" x14ac:dyDescent="0.2">
      <c r="A2057" s="5">
        <v>1996</v>
      </c>
      <c r="B2057" s="138">
        <f>'Cap Outlay Deprec 26'!L8</f>
        <v>3400536</v>
      </c>
      <c r="C2057" s="2" t="s">
        <v>594</v>
      </c>
      <c r="D2057" s="2" t="str">
        <f t="shared" si="31"/>
        <v>Error?</v>
      </c>
    </row>
    <row r="2058" spans="1:4" x14ac:dyDescent="0.2">
      <c r="A2058" s="5">
        <v>1997</v>
      </c>
      <c r="B2058" s="138">
        <f>'Cap Outlay Deprec 26'!L10</f>
        <v>15857</v>
      </c>
      <c r="C2058" s="2" t="s">
        <v>594</v>
      </c>
      <c r="D2058" s="2" t="str">
        <f t="shared" si="31"/>
        <v>Error?</v>
      </c>
    </row>
    <row r="2059" spans="1:4" x14ac:dyDescent="0.2">
      <c r="A2059" s="5">
        <v>1998</v>
      </c>
      <c r="B2059" s="138">
        <f>'Cap Outlay Deprec 26'!L12</f>
        <v>657380</v>
      </c>
      <c r="C2059" s="2" t="s">
        <v>594</v>
      </c>
      <c r="D2059" s="2" t="str">
        <f t="shared" si="31"/>
        <v>Error?</v>
      </c>
    </row>
    <row r="2060" spans="1:4" x14ac:dyDescent="0.2">
      <c r="A2060" s="5">
        <v>1999</v>
      </c>
      <c r="B2060" s="138">
        <f>'Cap Outlay Deprec 26'!L13</f>
        <v>261799</v>
      </c>
      <c r="C2060" s="2" t="s">
        <v>594</v>
      </c>
      <c r="D2060" s="2" t="str">
        <f t="shared" si="31"/>
        <v>Error?</v>
      </c>
    </row>
    <row r="2061" spans="1:4" x14ac:dyDescent="0.2">
      <c r="A2061" s="5">
        <v>2000</v>
      </c>
      <c r="B2061" s="138">
        <f>'Cap Outlay Deprec 26'!L16</f>
        <v>4402769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60500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60500</v>
      </c>
      <c r="C2088" s="2" t="s">
        <v>594</v>
      </c>
      <c r="D2088" s="2" t="str">
        <f t="shared" si="31"/>
        <v>Error?</v>
      </c>
    </row>
    <row r="2089" spans="1:4" x14ac:dyDescent="0.2">
      <c r="A2089" s="5">
        <v>2028</v>
      </c>
      <c r="B2089" s="138">
        <f>'Expenditures 15-22'!K92</f>
        <v>32396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9699</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62196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298466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3319425</v>
      </c>
      <c r="C2551" s="2" t="s">
        <v>594</v>
      </c>
      <c r="D2551" s="2" t="str">
        <f t="shared" si="38"/>
        <v>Error?</v>
      </c>
    </row>
    <row r="2552" spans="1:4" x14ac:dyDescent="0.2">
      <c r="A2552" s="10">
        <v>2491</v>
      </c>
      <c r="D2552" s="2" t="str">
        <f t="shared" si="38"/>
        <v>OK</v>
      </c>
    </row>
    <row r="2553" spans="1:4" x14ac:dyDescent="0.2">
      <c r="A2553" s="5">
        <v>2492</v>
      </c>
      <c r="B2553" s="138">
        <f>'Acct Summary 7-8'!C6</f>
        <v>295070</v>
      </c>
      <c r="C2553" s="2" t="s">
        <v>594</v>
      </c>
      <c r="D2553" s="2" t="str">
        <f t="shared" si="38"/>
        <v>Error?</v>
      </c>
    </row>
    <row r="2554" spans="1:4" x14ac:dyDescent="0.2">
      <c r="A2554" s="5">
        <v>2493</v>
      </c>
      <c r="B2554" s="138">
        <f>'Acct Summary 7-8'!C7</f>
        <v>159812</v>
      </c>
      <c r="C2554" s="2" t="s">
        <v>594</v>
      </c>
      <c r="D2554" s="2" t="str">
        <f t="shared" si="38"/>
        <v>Error?</v>
      </c>
    </row>
    <row r="2555" spans="1:4" x14ac:dyDescent="0.2">
      <c r="A2555" s="5">
        <v>2494</v>
      </c>
      <c r="B2555" s="138">
        <f>'Acct Summary 7-8'!C8</f>
        <v>3774307</v>
      </c>
      <c r="C2555" s="2" t="s">
        <v>594</v>
      </c>
      <c r="D2555" s="2" t="str">
        <f t="shared" si="38"/>
        <v>Error?</v>
      </c>
    </row>
    <row r="2556" spans="1:4" x14ac:dyDescent="0.2">
      <c r="A2556" s="5">
        <v>2495</v>
      </c>
      <c r="B2556" s="138">
        <f>'Acct Summary 7-8'!C12</f>
        <v>2527637</v>
      </c>
      <c r="C2556" s="2" t="s">
        <v>594</v>
      </c>
      <c r="D2556" s="2" t="str">
        <f t="shared" si="38"/>
        <v>Error?</v>
      </c>
    </row>
    <row r="2557" spans="1:4" x14ac:dyDescent="0.2">
      <c r="A2557" s="5">
        <v>2496</v>
      </c>
      <c r="B2557" s="138">
        <f>'Acct Summary 7-8'!C13</f>
        <v>851891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92896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3472424</v>
      </c>
      <c r="C2561" s="2" t="s">
        <v>594</v>
      </c>
      <c r="D2561" s="2" t="str">
        <f t="shared" si="39"/>
        <v>Error?</v>
      </c>
    </row>
    <row r="2562" spans="1:4" x14ac:dyDescent="0.2">
      <c r="A2562" s="5">
        <v>2501</v>
      </c>
      <c r="B2562" s="138">
        <f>'Acct Summary 7-8'!C20</f>
        <v>301883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456195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456195</v>
      </c>
      <c r="C2568" s="2" t="s">
        <v>594</v>
      </c>
      <c r="D2568" s="2" t="str">
        <f t="shared" si="39"/>
        <v>Error?</v>
      </c>
    </row>
    <row r="2569" spans="1:4" x14ac:dyDescent="0.2">
      <c r="A2569" s="5">
        <v>2508</v>
      </c>
      <c r="B2569" s="138">
        <f>'Acct Summary 7-8'!D13</f>
        <v>429097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9699</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438796</v>
      </c>
      <c r="C2573" s="2" t="s">
        <v>594</v>
      </c>
      <c r="D2573" s="2" t="str">
        <f t="shared" si="39"/>
        <v>Error?</v>
      </c>
    </row>
    <row r="2574" spans="1:4" x14ac:dyDescent="0.2">
      <c r="A2574" s="5">
        <v>2513</v>
      </c>
      <c r="B2574" s="138">
        <f>'Acct Summary 7-8'!D20</f>
        <v>17399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331887</v>
      </c>
      <c r="C2591" s="2" t="s">
        <v>594</v>
      </c>
      <c r="D2591" s="2" t="str">
        <f t="shared" si="39"/>
        <v>Error?</v>
      </c>
    </row>
    <row r="2592" spans="1:4" x14ac:dyDescent="0.2">
      <c r="A2592" s="10">
        <v>2531</v>
      </c>
      <c r="D2592" s="2" t="str">
        <f t="shared" si="39"/>
        <v>OK</v>
      </c>
    </row>
    <row r="2593" spans="1:4" x14ac:dyDescent="0.2">
      <c r="A2593" s="5">
        <v>2532</v>
      </c>
      <c r="B2593" s="138">
        <f>'Acct Summary 7-8'!F6</f>
        <v>101597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433484</v>
      </c>
      <c r="C2595" s="2" t="s">
        <v>594</v>
      </c>
      <c r="D2595" s="2" t="str">
        <f t="shared" si="39"/>
        <v>Error?</v>
      </c>
    </row>
    <row r="2596" spans="1:4" x14ac:dyDescent="0.2">
      <c r="A2596" s="5">
        <v>2535</v>
      </c>
      <c r="B2596" s="138">
        <f>'Acct Summary 7-8'!F13</f>
        <v>301586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301586</v>
      </c>
      <c r="C2600" s="2" t="s">
        <v>594</v>
      </c>
      <c r="D2600" s="2" t="str">
        <f t="shared" si="39"/>
        <v>Error?</v>
      </c>
    </row>
    <row r="2601" spans="1:4" x14ac:dyDescent="0.2">
      <c r="A2601" s="5">
        <v>2540</v>
      </c>
      <c r="B2601" s="138">
        <f>'Acct Summary 7-8'!F20</f>
        <v>131898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148039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148039</v>
      </c>
      <c r="C2606" s="2" t="s">
        <v>594</v>
      </c>
      <c r="D2606" s="2" t="str">
        <f t="shared" si="39"/>
        <v>Error?</v>
      </c>
    </row>
    <row r="2607" spans="1:4" x14ac:dyDescent="0.2">
      <c r="A2607" s="5">
        <v>2546</v>
      </c>
      <c r="B2607" s="138">
        <f>'Acct Summary 7-8'!G12</f>
        <v>47334</v>
      </c>
      <c r="C2607" s="2" t="s">
        <v>594</v>
      </c>
      <c r="D2607" s="2" t="str">
        <f t="shared" si="39"/>
        <v>Error?</v>
      </c>
    </row>
    <row r="2608" spans="1:4" x14ac:dyDescent="0.2">
      <c r="A2608" s="5">
        <v>2547</v>
      </c>
      <c r="B2608" s="138">
        <f>'Acct Summary 7-8'!G13</f>
        <v>80044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127378</v>
      </c>
      <c r="C2612" s="2" t="s">
        <v>594</v>
      </c>
      <c r="D2612" s="2" t="str">
        <f t="shared" si="39"/>
        <v>Error?</v>
      </c>
    </row>
    <row r="2613" spans="1:4" x14ac:dyDescent="0.2">
      <c r="A2613" s="5">
        <v>2552</v>
      </c>
      <c r="B2613" s="138">
        <f>'Acct Summary 7-8'!G20</f>
        <v>20661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142663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142663</v>
      </c>
      <c r="C2658" s="2" t="s">
        <v>594</v>
      </c>
      <c r="D2658" s="2" t="str">
        <f t="shared" si="40"/>
        <v>Error?</v>
      </c>
    </row>
    <row r="2659" spans="1:4" x14ac:dyDescent="0.2">
      <c r="A2659" s="5">
        <v>2598</v>
      </c>
      <c r="B2659" s="138">
        <f>'Acct Summary 7-8'!H13</f>
        <v>166110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166110</v>
      </c>
      <c r="C2661" s="2" t="s">
        <v>594</v>
      </c>
      <c r="D2661" s="2" t="str">
        <f t="shared" si="40"/>
        <v>Error?</v>
      </c>
    </row>
    <row r="2662" spans="1:4" x14ac:dyDescent="0.2">
      <c r="A2662" s="5">
        <v>2601</v>
      </c>
      <c r="B2662" s="138">
        <f>'Acct Summary 7-8'!H20</f>
        <v>-23447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417860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468749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417860</v>
      </c>
      <c r="D2912" s="2" t="str">
        <f t="shared" si="44"/>
        <v>Error?</v>
      </c>
    </row>
    <row r="2913" spans="1:4" x14ac:dyDescent="0.2">
      <c r="A2913" s="5">
        <v>2852</v>
      </c>
      <c r="B2913" s="138">
        <f>'Assets-Liab 5-6'!I41</f>
        <v>417860</v>
      </c>
      <c r="C2913" s="2" t="s">
        <v>594</v>
      </c>
      <c r="D2913" s="2" t="str">
        <f t="shared" si="44"/>
        <v>Error?</v>
      </c>
    </row>
    <row r="2914" spans="1:4" x14ac:dyDescent="0.2">
      <c r="A2914" s="5">
        <v>2853</v>
      </c>
      <c r="B2914" s="138">
        <f>'Assets-Liab 5-6'!L33</f>
        <v>468749</v>
      </c>
      <c r="D2914" s="2" t="str">
        <f t="shared" si="44"/>
        <v>Error?</v>
      </c>
    </row>
    <row r="2915" spans="1:4" x14ac:dyDescent="0.2">
      <c r="A2915" s="10">
        <v>2854</v>
      </c>
      <c r="D2915" s="2" t="str">
        <f t="shared" si="44"/>
        <v>OK</v>
      </c>
    </row>
    <row r="2916" spans="1:4" x14ac:dyDescent="0.2">
      <c r="A2916" s="5">
        <v>2855</v>
      </c>
      <c r="B2916" s="138">
        <f>'Assets-Liab 5-6'!L34</f>
        <v>468749</v>
      </c>
      <c r="C2916" s="2" t="s">
        <v>594</v>
      </c>
      <c r="D2916" s="2" t="str">
        <f t="shared" si="44"/>
        <v>Error?</v>
      </c>
    </row>
    <row r="2917" spans="1:4" x14ac:dyDescent="0.2">
      <c r="A2917" s="5">
        <v>2856</v>
      </c>
      <c r="B2917" s="138">
        <f>'Assets-Liab 5-6'!L41</f>
        <v>468749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60500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60500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9699</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30328</v>
      </c>
      <c r="D3055" s="2" t="str">
        <f t="shared" si="46"/>
        <v>Error?</v>
      </c>
    </row>
    <row r="3056" spans="1:4" x14ac:dyDescent="0.2">
      <c r="A3056" s="5">
        <v>2995</v>
      </c>
      <c r="B3056" s="138">
        <f>'Expenditures 15-22'!D10</f>
        <v>10932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2617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43877</v>
      </c>
      <c r="C3062" s="2" t="s">
        <v>594</v>
      </c>
      <c r="D3062" s="2" t="str">
        <f t="shared" si="46"/>
        <v>Error?</v>
      </c>
    </row>
    <row r="3063" spans="1:4" x14ac:dyDescent="0.2">
      <c r="A3063" s="10">
        <v>3002</v>
      </c>
      <c r="D3063" s="2" t="str">
        <f t="shared" si="46"/>
        <v>OK</v>
      </c>
    </row>
    <row r="3064" spans="1:4" x14ac:dyDescent="0.2">
      <c r="A3064" s="5">
        <v>3003</v>
      </c>
      <c r="B3064" s="138">
        <f>'Expenditures 15-22'!D219</f>
        <v>5640</v>
      </c>
      <c r="D3064" s="2" t="str">
        <f t="shared" si="46"/>
        <v>Error?</v>
      </c>
    </row>
    <row r="3065" spans="1:4" x14ac:dyDescent="0.2">
      <c r="A3065" s="5">
        <v>3004</v>
      </c>
      <c r="B3065" s="138">
        <f>'Expenditures 15-22'!K219</f>
        <v>5640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5058</v>
      </c>
      <c r="C3225" s="2" t="s">
        <v>594</v>
      </c>
      <c r="D3225" s="2" t="str">
        <f t="shared" si="49"/>
        <v>Error?</v>
      </c>
    </row>
    <row r="3226" spans="1:4" x14ac:dyDescent="0.2">
      <c r="A3226" s="5">
        <v>3165</v>
      </c>
      <c r="B3226" s="138">
        <f>'Acct Summary 7-8'!I8</f>
        <v>5058</v>
      </c>
      <c r="C3226" s="2" t="s">
        <v>594</v>
      </c>
      <c r="D3226" s="2" t="str">
        <f t="shared" si="49"/>
        <v>Error?</v>
      </c>
    </row>
    <row r="3227" spans="1:4" x14ac:dyDescent="0.2">
      <c r="A3227" s="5">
        <v>3166</v>
      </c>
      <c r="B3227" s="138">
        <f>'Acct Summary 7-8'!I20</f>
        <v>5058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301883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17399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3000</v>
      </c>
      <c r="C3255" s="2" t="s">
        <v>594</v>
      </c>
      <c r="D3255" s="2" t="str">
        <f t="shared" si="49"/>
        <v>Error?</v>
      </c>
    </row>
    <row r="3256" spans="1:4" x14ac:dyDescent="0.2">
      <c r="A3256" s="5">
        <v>3195</v>
      </c>
      <c r="B3256" s="138">
        <f>'Acct Summary 7-8'!F78</f>
        <v>134898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20661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-23447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5058</v>
      </c>
      <c r="C3320" s="2" t="s">
        <v>594</v>
      </c>
      <c r="D3320" s="2" t="str">
        <f t="shared" si="50"/>
        <v>Error?</v>
      </c>
    </row>
    <row r="3321" spans="1:4" x14ac:dyDescent="0.2">
      <c r="A3321" s="5">
        <v>3260</v>
      </c>
      <c r="B3321" s="138">
        <f>'Acct Summary 7-8'!I79</f>
        <v>412802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417860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201388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63535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694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1663</v>
      </c>
      <c r="D3372" s="2" t="str">
        <f t="shared" si="51"/>
        <v>Error?</v>
      </c>
    </row>
    <row r="3373" spans="1:4" x14ac:dyDescent="0.2">
      <c r="A3373" s="5">
        <v>3312</v>
      </c>
      <c r="B3373" s="138">
        <f>'Expenditures 15-22'!F19</f>
        <v>577</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267280</v>
      </c>
      <c r="C3380" s="2" t="s">
        <v>594</v>
      </c>
      <c r="D3380" s="2" t="str">
        <f t="shared" si="51"/>
        <v>Error?</v>
      </c>
    </row>
    <row r="3381" spans="1:4" x14ac:dyDescent="0.2">
      <c r="A3381" s="5">
        <v>3320</v>
      </c>
      <c r="B3381" s="138">
        <f>'Expenditures 15-22'!K19</f>
        <v>577</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15349</v>
      </c>
      <c r="D3387" s="2" t="str">
        <f t="shared" si="51"/>
        <v>Error?</v>
      </c>
    </row>
    <row r="3388" spans="1:4" x14ac:dyDescent="0.2">
      <c r="A3388" s="5">
        <v>3327</v>
      </c>
      <c r="B3388" s="138">
        <f>'Expenditures 15-22'!D217</f>
        <v>16978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15349</v>
      </c>
      <c r="C3390" s="2" t="s">
        <v>594</v>
      </c>
      <c r="D3390" s="2" t="str">
        <f t="shared" si="51"/>
        <v>Error?</v>
      </c>
    </row>
    <row r="3391" spans="1:4" x14ac:dyDescent="0.2">
      <c r="A3391" s="5">
        <v>3330</v>
      </c>
      <c r="B3391" s="138">
        <f>'Expenditures 15-22'!K217</f>
        <v>16978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6852213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1850386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1605426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374777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298466</v>
      </c>
      <c r="D3425" s="2" t="str">
        <f t="shared" si="52"/>
        <v>Error?</v>
      </c>
    </row>
    <row r="3426" spans="1:4" x14ac:dyDescent="0.2">
      <c r="A3426" s="10">
        <v>3365</v>
      </c>
      <c r="D3426" s="2" t="str">
        <f t="shared" si="52"/>
        <v>OK</v>
      </c>
    </row>
    <row r="3427" spans="1:4" x14ac:dyDescent="0.2">
      <c r="A3427" s="5">
        <v>3366</v>
      </c>
      <c r="B3427" s="138">
        <f>'Assets-Liab 5-6'!I4</f>
        <v>417860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468749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76240</v>
      </c>
      <c r="C3446" s="2" t="s">
        <v>594</v>
      </c>
      <c r="D3446" s="2" t="str">
        <f t="shared" si="52"/>
        <v>Error?</v>
      </c>
    </row>
    <row r="3447" spans="1:4" x14ac:dyDescent="0.2">
      <c r="A3447" s="5">
        <v>3386</v>
      </c>
      <c r="B3447" s="138">
        <f>'Tax Sched 23'!D16</f>
        <v>63234</v>
      </c>
      <c r="C3447" s="2" t="s">
        <v>594</v>
      </c>
      <c r="D3447" s="2" t="str">
        <f t="shared" si="52"/>
        <v>Error?</v>
      </c>
    </row>
    <row r="3448" spans="1:4" x14ac:dyDescent="0.2">
      <c r="A3448" s="5">
        <v>3387</v>
      </c>
      <c r="B3448" s="138">
        <f>'Tax Sched 23'!C16</f>
        <v>13006</v>
      </c>
      <c r="D3448" s="2" t="str">
        <f t="shared" si="52"/>
        <v>Error?</v>
      </c>
    </row>
    <row r="3449" spans="1:4" x14ac:dyDescent="0.2">
      <c r="A3449" s="5">
        <v>3388</v>
      </c>
      <c r="B3449" s="138">
        <f>'Tax Sched 23'!F16</f>
        <v>49224</v>
      </c>
      <c r="C3449" s="2" t="s">
        <v>594</v>
      </c>
      <c r="D3449" s="2" t="str">
        <f t="shared" si="52"/>
        <v>Error?</v>
      </c>
    </row>
    <row r="3450" spans="1:4" x14ac:dyDescent="0.2">
      <c r="A3450" s="5">
        <v>3389</v>
      </c>
      <c r="B3450" s="138">
        <f>'Tax Sched 23'!E16</f>
        <v>62230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3000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50948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50948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50948</v>
      </c>
      <c r="D3567" s="2" t="str">
        <f t="shared" si="54"/>
        <v>Error?</v>
      </c>
    </row>
    <row r="3568" spans="1:4" x14ac:dyDescent="0.2">
      <c r="A3568" s="5">
        <v>3507</v>
      </c>
      <c r="B3568" s="138">
        <f>'Assets-Liab 5-6'!K41</f>
        <v>50948</v>
      </c>
      <c r="C3568" s="2" t="s">
        <v>594</v>
      </c>
      <c r="D3568" s="2" t="str">
        <f t="shared" si="54"/>
        <v>Error?</v>
      </c>
    </row>
    <row r="3569" spans="1:4" x14ac:dyDescent="0.2">
      <c r="A3569" s="5">
        <v>3508</v>
      </c>
      <c r="B3569" s="138">
        <f>'Acct Summary 7-8'!K4</f>
        <v>5889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5889</v>
      </c>
      <c r="C3571" s="2" t="s">
        <v>594</v>
      </c>
      <c r="D3571" s="2" t="str">
        <f t="shared" si="54"/>
        <v>Error?</v>
      </c>
    </row>
    <row r="3572" spans="1:4" x14ac:dyDescent="0.2">
      <c r="A3572" s="5">
        <v>3511</v>
      </c>
      <c r="B3572" s="138">
        <f>'Acct Summary 7-8'!K13</f>
        <v>17417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17417</v>
      </c>
      <c r="C3575" s="2" t="s">
        <v>594</v>
      </c>
      <c r="D3575" s="2" t="str">
        <f t="shared" si="54"/>
        <v>Error?</v>
      </c>
    </row>
    <row r="3576" spans="1:4" x14ac:dyDescent="0.2">
      <c r="A3576" s="5">
        <v>3515</v>
      </c>
      <c r="B3576" s="138">
        <f>'Acct Summary 7-8'!K20</f>
        <v>-11528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-11528</v>
      </c>
      <c r="C3588" s="2" t="s">
        <v>594</v>
      </c>
      <c r="D3588" s="2" t="str">
        <f t="shared" si="55"/>
        <v>Error?</v>
      </c>
    </row>
    <row r="3589" spans="1:4" x14ac:dyDescent="0.2">
      <c r="A3589" s="5">
        <v>3528</v>
      </c>
      <c r="B3589" s="138">
        <f>'Acct Summary 7-8'!K79</f>
        <v>62476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50948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8053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8053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8053</v>
      </c>
      <c r="C3635" s="2" t="s">
        <v>594</v>
      </c>
      <c r="D3635" s="2" t="str">
        <f t="shared" si="55"/>
        <v>Error?</v>
      </c>
    </row>
    <row r="3636" spans="1:4" x14ac:dyDescent="0.2">
      <c r="A3636" s="5">
        <v>3575</v>
      </c>
      <c r="B3636" s="138">
        <f>'Expenditures 15-22'!E367</f>
        <v>8053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9364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9364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9364</v>
      </c>
      <c r="C3649" s="2" t="s">
        <v>594</v>
      </c>
      <c r="D3649" s="2" t="str">
        <f t="shared" si="56"/>
        <v>Error?</v>
      </c>
    </row>
    <row r="3650" spans="1:4" x14ac:dyDescent="0.2">
      <c r="A3650" s="5">
        <v>3589</v>
      </c>
      <c r="B3650" s="138">
        <f>'Expenditures 15-22'!G367</f>
        <v>9364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17417</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17417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17417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17417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-11528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38790</v>
      </c>
      <c r="C3725" s="2" t="s">
        <v>594</v>
      </c>
      <c r="D3725" s="2" t="str">
        <f t="shared" si="57"/>
        <v>Error?</v>
      </c>
    </row>
    <row r="3726" spans="1:4" x14ac:dyDescent="0.2">
      <c r="A3726" s="5">
        <v>3665</v>
      </c>
      <c r="B3726" s="138">
        <f>'Tax Sched 23'!D13</f>
        <v>32385</v>
      </c>
      <c r="C3726" s="2" t="s">
        <v>594</v>
      </c>
      <c r="D3726" s="2" t="str">
        <f t="shared" si="57"/>
        <v>Error?</v>
      </c>
    </row>
    <row r="3727" spans="1:4" x14ac:dyDescent="0.2">
      <c r="A3727" s="5">
        <v>3666</v>
      </c>
      <c r="B3727" s="138">
        <f>'Tax Sched 23'!C13</f>
        <v>6405</v>
      </c>
      <c r="D3727" s="2" t="str">
        <f t="shared" si="57"/>
        <v>Error?</v>
      </c>
    </row>
    <row r="3728" spans="1:4" x14ac:dyDescent="0.2">
      <c r="A3728" s="5">
        <v>3667</v>
      </c>
      <c r="B3728" s="138">
        <f>'Tax Sched 23'!F13</f>
        <v>24241</v>
      </c>
      <c r="C3728" s="2" t="s">
        <v>594</v>
      </c>
      <c r="D3728" s="2" t="str">
        <f t="shared" si="57"/>
        <v>Error?</v>
      </c>
    </row>
    <row r="3729" spans="1:4" x14ac:dyDescent="0.2">
      <c r="A3729" s="5">
        <v>3668</v>
      </c>
      <c r="B3729" s="138">
        <f>'Tax Sched 23'!E13</f>
        <v>30646</v>
      </c>
      <c r="D3729" s="2" t="str">
        <f t="shared" si="57"/>
        <v>Error?</v>
      </c>
    </row>
    <row r="3730" spans="1:4" x14ac:dyDescent="0.2">
      <c r="A3730" s="5">
        <v>3669</v>
      </c>
      <c r="B3730" s="138">
        <f>'ICR Computation 30'!E10</f>
        <v>35279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254430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4028737</v>
      </c>
      <c r="C4122" s="2" t="s">
        <v>594</v>
      </c>
      <c r="D4122" s="2" t="str">
        <f t="shared" si="63"/>
        <v>Error?</v>
      </c>
    </row>
    <row r="4123" spans="1:4" x14ac:dyDescent="0.2">
      <c r="A4123" s="5">
        <v>4062</v>
      </c>
      <c r="B4123" s="138">
        <f>'Acct Summary 7-8'!D10</f>
        <v>456195</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433484</v>
      </c>
      <c r="C4125" s="2" t="s">
        <v>594</v>
      </c>
      <c r="D4125" s="2" t="str">
        <f t="shared" si="63"/>
        <v>Error?</v>
      </c>
    </row>
    <row r="4126" spans="1:4" x14ac:dyDescent="0.2">
      <c r="A4126" s="5">
        <v>4065</v>
      </c>
      <c r="B4126" s="138">
        <f>'Acct Summary 7-8'!G10</f>
        <v>148039</v>
      </c>
      <c r="C4126" s="2" t="s">
        <v>594</v>
      </c>
      <c r="D4126" s="2" t="str">
        <f t="shared" si="63"/>
        <v>Error?</v>
      </c>
    </row>
    <row r="4127" spans="1:4" x14ac:dyDescent="0.2">
      <c r="A4127" s="5">
        <v>4066</v>
      </c>
      <c r="B4127" s="138">
        <f>'Acct Summary 7-8'!H10</f>
        <v>142663</v>
      </c>
      <c r="C4127" s="2" t="s">
        <v>594</v>
      </c>
      <c r="D4127" s="2" t="str">
        <f t="shared" si="63"/>
        <v>Error?</v>
      </c>
    </row>
    <row r="4128" spans="1:4" x14ac:dyDescent="0.2">
      <c r="A4128" s="5">
        <v>4067</v>
      </c>
      <c r="B4128" s="138">
        <f>'Acct Summary 7-8'!I10</f>
        <v>5058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5889</v>
      </c>
      <c r="C4130" s="2" t="s">
        <v>594</v>
      </c>
      <c r="D4130" s="2" t="str">
        <f t="shared" si="63"/>
        <v>Error?</v>
      </c>
    </row>
    <row r="4131" spans="1:4" x14ac:dyDescent="0.2">
      <c r="A4131" s="5">
        <v>4070</v>
      </c>
      <c r="B4131" s="138">
        <f>'Acct Summary 7-8'!C18</f>
        <v>254430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3726854</v>
      </c>
      <c r="C4136" s="2" t="s">
        <v>594</v>
      </c>
      <c r="D4136" s="2" t="str">
        <f t="shared" si="63"/>
        <v>Error?</v>
      </c>
    </row>
    <row r="4137" spans="1:4" x14ac:dyDescent="0.2">
      <c r="A4137" s="5">
        <v>4076</v>
      </c>
      <c r="B4137" s="138">
        <f>'Acct Summary 7-8'!D19</f>
        <v>438796</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301586</v>
      </c>
      <c r="C4139" s="2" t="s">
        <v>594</v>
      </c>
      <c r="D4139" s="2" t="str">
        <f t="shared" si="63"/>
        <v>Error?</v>
      </c>
    </row>
    <row r="4140" spans="1:4" x14ac:dyDescent="0.2">
      <c r="A4140" s="5">
        <v>4079</v>
      </c>
      <c r="B4140" s="138">
        <f>'Acct Summary 7-8'!G19</f>
        <v>127378</v>
      </c>
      <c r="C4140" s="2" t="s">
        <v>594</v>
      </c>
      <c r="D4140" s="2" t="str">
        <f t="shared" si="63"/>
        <v>Error?</v>
      </c>
    </row>
    <row r="4141" spans="1:4" x14ac:dyDescent="0.2">
      <c r="A4141" s="5">
        <v>4080</v>
      </c>
      <c r="B4141" s="138">
        <f>'Acct Summary 7-8'!H19</f>
        <v>166110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17417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9699</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9699</v>
      </c>
      <c r="C4202" s="2" t="s">
        <v>594</v>
      </c>
      <c r="D4202" s="2" t="str">
        <f t="shared" si="64"/>
        <v>Error?</v>
      </c>
    </row>
    <row r="4203" spans="1:4" x14ac:dyDescent="0.2">
      <c r="A4203" s="5">
        <v>4142</v>
      </c>
      <c r="B4203" s="138">
        <f>'Expenditures 15-22'!E139</f>
        <v>9699</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3123.52</v>
      </c>
      <c r="C4265" s="2" t="s">
        <v>594</v>
      </c>
      <c r="D4265" s="2" t="str">
        <f t="shared" si="65"/>
        <v>Error?</v>
      </c>
      <c r="E4265" s="128"/>
    </row>
    <row r="4266" spans="1:5" x14ac:dyDescent="0.2">
      <c r="A4266" s="12">
        <v>4205</v>
      </c>
      <c r="B4266" s="138">
        <f>('FP Info 3'!F10)*100000</f>
        <v>676.36</v>
      </c>
      <c r="C4266" s="2" t="s">
        <v>594</v>
      </c>
      <c r="D4266" s="2" t="str">
        <f t="shared" si="65"/>
        <v>Error?</v>
      </c>
      <c r="E4266" s="128"/>
    </row>
    <row r="4267" spans="1:5" x14ac:dyDescent="0.2">
      <c r="A4267" s="12">
        <v>4206</v>
      </c>
      <c r="B4267" s="138">
        <f>('FP Info 3'!H10)*100000</f>
        <v>350.52</v>
      </c>
      <c r="C4267" s="2" t="s">
        <v>594</v>
      </c>
      <c r="D4267" s="2" t="str">
        <f t="shared" si="65"/>
        <v>Error?</v>
      </c>
      <c r="E4267" s="128"/>
    </row>
    <row r="4268" spans="1:5" x14ac:dyDescent="0.2">
      <c r="A4268" s="12">
        <v>4207</v>
      </c>
      <c r="B4268" s="138">
        <f>('FP Info 3'!J10)*100000</f>
        <v>4150</v>
      </c>
      <c r="C4268" s="2" t="s">
        <v>594</v>
      </c>
      <c r="D4268" s="2" t="str">
        <f t="shared" si="65"/>
        <v>Error?</v>
      </c>
    </row>
    <row r="4269" spans="1:5" x14ac:dyDescent="0.2">
      <c r="A4269" s="12">
        <v>4208</v>
      </c>
      <c r="B4269" s="138">
        <f>'FP Info 3'!J16</f>
        <v>10725611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7082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2252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6305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25700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95922792</v>
      </c>
      <c r="D4995" s="2" t="str">
        <f t="shared" si="77"/>
        <v>Error?</v>
      </c>
    </row>
    <row r="4996" spans="1:4" x14ac:dyDescent="0.2">
      <c r="A4996" s="12">
        <v>4935</v>
      </c>
      <c r="B4996" s="138">
        <f>'FP Info 3'!H31</f>
        <v>13237345.296000002</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38790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3033437</v>
      </c>
      <c r="D5061" s="2" t="str">
        <f t="shared" si="78"/>
        <v>Error?</v>
      </c>
    </row>
    <row r="5062" spans="1:4" x14ac:dyDescent="0.2">
      <c r="A5062" s="10">
        <v>5001</v>
      </c>
      <c r="D5062" s="2" t="str">
        <f t="shared" si="78"/>
        <v>OK</v>
      </c>
    </row>
    <row r="5063" spans="1:4" x14ac:dyDescent="0.2">
      <c r="A5063" s="5">
        <v>5002</v>
      </c>
      <c r="B5063" s="138">
        <f>'Revenues 9-14'!C7</f>
        <v>52677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3124904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41388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41388</v>
      </c>
      <c r="C5071" s="2" t="s">
        <v>594</v>
      </c>
      <c r="D5071" s="2" t="str">
        <f t="shared" si="78"/>
        <v>Error?</v>
      </c>
    </row>
    <row r="5072" spans="1:4" x14ac:dyDescent="0.2">
      <c r="A5072" s="5">
        <v>5011</v>
      </c>
      <c r="B5072" s="138">
        <f>'Revenues 9-14'!C20</f>
        <v>1200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1200</v>
      </c>
      <c r="C5087" s="2" t="s">
        <v>594</v>
      </c>
      <c r="D5087" s="2" t="str">
        <f t="shared" si="78"/>
        <v>Error?</v>
      </c>
    </row>
    <row r="5088" spans="1:4" x14ac:dyDescent="0.2">
      <c r="A5088" s="5">
        <v>5027</v>
      </c>
      <c r="B5088" s="138">
        <f>'Revenues 9-14'!C65</f>
        <v>67008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67008</v>
      </c>
      <c r="C5090" s="2" t="s">
        <v>594</v>
      </c>
      <c r="D5090" s="2" t="str">
        <f t="shared" si="78"/>
        <v>Error?</v>
      </c>
    </row>
    <row r="5091" spans="1:4" x14ac:dyDescent="0.2">
      <c r="A5091" s="5">
        <v>5030</v>
      </c>
      <c r="B5091" s="138">
        <f>'Revenues 9-14'!C70</f>
        <v>7710</v>
      </c>
      <c r="D5091" s="2" t="str">
        <f t="shared" si="78"/>
        <v>Error?</v>
      </c>
    </row>
    <row r="5092" spans="1:4" x14ac:dyDescent="0.2">
      <c r="A5092" s="5">
        <v>5031</v>
      </c>
      <c r="B5092" s="138">
        <f>'Revenues 9-14'!C71</f>
        <v>6064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4311</v>
      </c>
      <c r="D5094" s="2" t="str">
        <f t="shared" si="78"/>
        <v>Error?</v>
      </c>
    </row>
    <row r="5095" spans="1:4" x14ac:dyDescent="0.2">
      <c r="A5095" s="5">
        <v>5034</v>
      </c>
      <c r="B5095" s="138">
        <f>'Revenues 9-14'!C74</f>
        <v>81</v>
      </c>
      <c r="D5095" s="2" t="str">
        <f t="shared" si="78"/>
        <v>Error?</v>
      </c>
    </row>
    <row r="5096" spans="1:4" x14ac:dyDescent="0.2">
      <c r="A5096" s="5">
        <v>5035</v>
      </c>
      <c r="B5096" s="138">
        <f>'Revenues 9-14'!C75</f>
        <v>60066</v>
      </c>
      <c r="C5096" s="2" t="s">
        <v>594</v>
      </c>
      <c r="D5096" s="2" t="str">
        <f t="shared" si="78"/>
        <v>Error?</v>
      </c>
    </row>
    <row r="5097" spans="1:4" x14ac:dyDescent="0.2">
      <c r="A5097" s="5">
        <v>5036</v>
      </c>
      <c r="B5097" s="138">
        <f>'Revenues 9-14'!C77</f>
        <v>13897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13897</v>
      </c>
      <c r="C5102" s="2" t="s">
        <v>594</v>
      </c>
      <c r="D5102" s="2" t="str">
        <f t="shared" si="78"/>
        <v>Error?</v>
      </c>
    </row>
    <row r="5103" spans="1:4" x14ac:dyDescent="0.2">
      <c r="A5103" s="5">
        <v>5042</v>
      </c>
      <c r="B5103" s="138">
        <f>'Revenues 9-14'!C84</f>
        <v>9903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100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10003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309</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959</v>
      </c>
      <c r="C5120" s="2" t="s">
        <v>594</v>
      </c>
      <c r="D5120" s="2" t="str">
        <f t="shared" si="79"/>
        <v>Error?</v>
      </c>
    </row>
    <row r="5121" spans="1:4" x14ac:dyDescent="0.2">
      <c r="A5121" s="5">
        <v>5060</v>
      </c>
      <c r="B5121" s="138">
        <f>'Revenues 9-14'!C109</f>
        <v>3319425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141671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141671</v>
      </c>
      <c r="C5132" s="2" t="s">
        <v>594</v>
      </c>
      <c r="D5132" s="2" t="str">
        <f t="shared" si="79"/>
        <v>Error?</v>
      </c>
    </row>
    <row r="5133" spans="1:4" x14ac:dyDescent="0.2">
      <c r="A5133" s="5">
        <v>5072</v>
      </c>
      <c r="B5133" s="138">
        <f>'Revenues 9-14'!C124</f>
        <v>19598</v>
      </c>
      <c r="D5133" s="2" t="str">
        <f t="shared" si="79"/>
        <v>Error?</v>
      </c>
    </row>
    <row r="5134" spans="1:4" x14ac:dyDescent="0.2">
      <c r="A5134" s="5">
        <v>5073</v>
      </c>
      <c r="B5134" s="138">
        <f>'Revenues 9-14'!C125</f>
        <v>13251</v>
      </c>
      <c r="D5134" s="2" t="str">
        <f t="shared" si="79"/>
        <v>Error?</v>
      </c>
    </row>
    <row r="5135" spans="1:4" x14ac:dyDescent="0.2">
      <c r="A5135" s="5">
        <v>5074</v>
      </c>
      <c r="B5135" s="138">
        <f>'Revenues 9-14'!C126</f>
        <v>22206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55103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2261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14305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396</v>
      </c>
      <c r="D5167" s="2" t="str">
        <f t="shared" si="79"/>
        <v>Error?</v>
      </c>
    </row>
    <row r="5168" spans="1:4" x14ac:dyDescent="0.2">
      <c r="A5168" s="5">
        <v>5107</v>
      </c>
      <c r="B5168" s="138">
        <f>'Revenues 9-14'!C147</f>
        <v>2498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1500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79597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153399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295070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25700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33584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7110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40694</v>
      </c>
      <c r="C5246" s="2" t="s">
        <v>594</v>
      </c>
      <c r="D5246" s="2" t="str">
        <f t="shared" si="80"/>
        <v>Error?</v>
      </c>
    </row>
    <row r="5247" spans="1:4" x14ac:dyDescent="0.2">
      <c r="A5247" s="5">
        <v>5186</v>
      </c>
      <c r="B5247" s="138">
        <f>'Revenues 9-14'!C203</f>
        <v>43019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43019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2352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32408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34760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134112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159812</v>
      </c>
      <c r="C5326" s="2" t="s">
        <v>594</v>
      </c>
      <c r="D5326" s="2" t="str">
        <f t="shared" si="82"/>
        <v>Error?</v>
      </c>
    </row>
    <row r="5327" spans="1:4" x14ac:dyDescent="0.2">
      <c r="A5327" s="5">
        <v>5266</v>
      </c>
      <c r="B5327" s="138">
        <f>'Revenues 9-14'!C275</f>
        <v>3774307</v>
      </c>
      <c r="C5327" s="2" t="s">
        <v>594</v>
      </c>
      <c r="D5327" s="2" t="str">
        <f t="shared" si="82"/>
        <v>Error?</v>
      </c>
    </row>
    <row r="5328" spans="1:4" x14ac:dyDescent="0.2">
      <c r="A5328" s="5">
        <v>5267</v>
      </c>
      <c r="B5328" s="138">
        <f>'Revenues 9-14'!D5</f>
        <v>443533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443533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12512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12512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150</v>
      </c>
      <c r="C5355" s="2" t="s">
        <v>594</v>
      </c>
      <c r="D5355" s="2" t="str">
        <f t="shared" si="82"/>
        <v>Error?</v>
      </c>
    </row>
    <row r="5356" spans="1:4" x14ac:dyDescent="0.2">
      <c r="A5356" s="5">
        <v>5295</v>
      </c>
      <c r="B5356" s="138">
        <f>'Revenues 9-14'!D109</f>
        <v>456195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456195</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324471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324471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4987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4987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2429</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2429</v>
      </c>
      <c r="C5587" s="2" t="s">
        <v>594</v>
      </c>
      <c r="D5587" s="2" t="str">
        <f t="shared" si="86"/>
        <v>Error?</v>
      </c>
    </row>
    <row r="5588" spans="1:4" x14ac:dyDescent="0.2">
      <c r="A5588" s="5">
        <v>5527</v>
      </c>
      <c r="B5588" s="138">
        <f>'Revenues 9-14'!F109</f>
        <v>331887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89643</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89643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11954</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101597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101597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433484</v>
      </c>
      <c r="C5720" s="2" t="s">
        <v>594</v>
      </c>
      <c r="D5720" s="2" t="str">
        <f t="shared" si="88"/>
        <v>Error?</v>
      </c>
    </row>
    <row r="5721" spans="1:4" x14ac:dyDescent="0.2">
      <c r="A5721" s="5">
        <v>5660</v>
      </c>
      <c r="B5721" s="138">
        <f>'Revenues 9-14'!G5</f>
        <v>65127</v>
      </c>
      <c r="D5721" s="2" t="str">
        <f t="shared" si="88"/>
        <v>Error?</v>
      </c>
    </row>
    <row r="5722" spans="1:4" x14ac:dyDescent="0.2">
      <c r="A5722" s="5">
        <v>5661</v>
      </c>
      <c r="B5722" s="138">
        <f>'Revenues 9-14'!G7</f>
        <v>0</v>
      </c>
      <c r="D5722" s="2" t="str">
        <f t="shared" si="88"/>
        <v>Error?</v>
      </c>
    </row>
    <row r="5723" spans="1:4" x14ac:dyDescent="0.2">
      <c r="A5723" s="5">
        <v>5662</v>
      </c>
      <c r="B5723" s="138">
        <f>'Revenues 9-14'!G8</f>
        <v>76240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141367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3983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3983</v>
      </c>
      <c r="C5730" s="2" t="s">
        <v>594</v>
      </c>
      <c r="D5730" s="2" t="str">
        <f t="shared" si="88"/>
        <v>Error?</v>
      </c>
    </row>
    <row r="5731" spans="1:4" x14ac:dyDescent="0.2">
      <c r="A5731" s="5">
        <v>5670</v>
      </c>
      <c r="B5731" s="138">
        <f>'Revenues 9-14'!G65</f>
        <v>2689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2689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148039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142646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142663</v>
      </c>
      <c r="C5915" s="2" t="s">
        <v>594</v>
      </c>
      <c r="D5915" s="2" t="str">
        <f t="shared" si="91"/>
        <v>Error?</v>
      </c>
    </row>
    <row r="5916" spans="1:4" x14ac:dyDescent="0.2">
      <c r="A5916" s="5">
        <v>5855</v>
      </c>
      <c r="B5916" s="138">
        <f>'Revenues 9-14'!I5</f>
        <v>4064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4064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994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5058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5041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5041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848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848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5889</v>
      </c>
      <c r="C6023" s="2" t="s">
        <v>594</v>
      </c>
      <c r="D6023" s="2" t="str">
        <f t="shared" si="93"/>
        <v>Error?</v>
      </c>
    </row>
    <row r="6024" spans="1:5" x14ac:dyDescent="0.2">
      <c r="A6024" s="5">
        <v>5963</v>
      </c>
      <c r="B6024" s="138">
        <f>'Revenues 9-14'!G109</f>
        <v>148039</v>
      </c>
      <c r="C6024" s="2" t="s">
        <v>594</v>
      </c>
      <c r="D6024" s="2" t="str">
        <f t="shared" si="93"/>
        <v>Error?</v>
      </c>
    </row>
    <row r="6025" spans="1:5" x14ac:dyDescent="0.2">
      <c r="A6025" s="5">
        <v>5964</v>
      </c>
      <c r="B6025" s="138">
        <f>'Revenues 9-14'!H109</f>
        <v>142663</v>
      </c>
      <c r="C6025" s="2" t="s">
        <v>594</v>
      </c>
      <c r="D6025" s="2" t="str">
        <f t="shared" si="93"/>
        <v>Error?</v>
      </c>
    </row>
    <row r="6026" spans="1:5" x14ac:dyDescent="0.2">
      <c r="A6026" s="5">
        <v>5965</v>
      </c>
      <c r="B6026" s="138">
        <f>'Revenues 9-14'!I109</f>
        <v>5058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5889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41900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9552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229.33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240415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240415</v>
      </c>
      <c r="D6215" s="2" t="str">
        <f t="shared" si="96"/>
        <v>Error?</v>
      </c>
      <c r="E6215" s="2" t="s">
        <v>199</v>
      </c>
    </row>
    <row r="6216" spans="1:5" x14ac:dyDescent="0.2">
      <c r="A6216">
        <v>6155</v>
      </c>
      <c r="B6216" s="138">
        <f>'Assets-Liab 5-6'!J41</f>
        <v>240415</v>
      </c>
      <c r="D6216" s="2" t="str">
        <f t="shared" si="96"/>
        <v>Error?</v>
      </c>
      <c r="E6216" s="2" t="s">
        <v>199</v>
      </c>
    </row>
    <row r="6217" spans="1:5" x14ac:dyDescent="0.2">
      <c r="A6217">
        <v>6156</v>
      </c>
      <c r="B6217" s="138">
        <f>'Assets-Liab 5-6'!J4</f>
        <v>240415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89558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89558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89558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55761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55761</v>
      </c>
      <c r="D6229" s="2" t="str">
        <f t="shared" si="96"/>
        <v>Error?</v>
      </c>
      <c r="E6229" s="2" t="s">
        <v>199</v>
      </c>
    </row>
    <row r="6230" spans="1:5" x14ac:dyDescent="0.2">
      <c r="A6230">
        <v>6169</v>
      </c>
      <c r="B6230" s="138">
        <f>'Acct Summary 7-8'!J20</f>
        <v>33797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33797</v>
      </c>
      <c r="D6263" s="2" t="str">
        <f t="shared" si="96"/>
        <v>Error?</v>
      </c>
      <c r="E6263" s="2" t="s">
        <v>199</v>
      </c>
    </row>
    <row r="6264" spans="1:5" x14ac:dyDescent="0.2">
      <c r="A6264">
        <v>6203</v>
      </c>
      <c r="B6264" s="138">
        <f>'Acct Summary 7-8'!J79</f>
        <v>206618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240415</v>
      </c>
      <c r="D6266" s="2" t="str">
        <f t="shared" si="96"/>
        <v>Error?</v>
      </c>
      <c r="E6266" s="2" t="s">
        <v>199</v>
      </c>
    </row>
    <row r="6267" spans="1:5" x14ac:dyDescent="0.2">
      <c r="A6267">
        <v>6206</v>
      </c>
      <c r="B6267" s="138">
        <f>'Acct Summary 7-8'!C82</f>
        <v>301883</v>
      </c>
      <c r="D6267" s="2" t="str">
        <f t="shared" si="96"/>
        <v>Error?</v>
      </c>
      <c r="E6267" s="2" t="s">
        <v>199</v>
      </c>
    </row>
    <row r="6268" spans="1:5" x14ac:dyDescent="0.2">
      <c r="A6268">
        <v>6207</v>
      </c>
      <c r="B6268" s="138">
        <f>'Acct Summary 7-8'!D82</f>
        <v>17399</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134898</v>
      </c>
      <c r="D6270" s="2" t="str">
        <f t="shared" si="96"/>
        <v>Error?</v>
      </c>
      <c r="E6270" s="2" t="s">
        <v>199</v>
      </c>
    </row>
    <row r="6271" spans="1:5" x14ac:dyDescent="0.2">
      <c r="A6271">
        <v>6210</v>
      </c>
      <c r="B6271" s="138">
        <f>'Acct Summary 7-8'!G82</f>
        <v>20661</v>
      </c>
      <c r="D6271" s="2" t="str">
        <f t="shared" ref="D6271:D6334" si="97">IF(ISBLANK(B6271),"OK",IF(A6271-B6271=0,"OK","Error?"))</f>
        <v>Error?</v>
      </c>
      <c r="E6271" s="2" t="s">
        <v>199</v>
      </c>
    </row>
    <row r="6272" spans="1:5" x14ac:dyDescent="0.2">
      <c r="A6272">
        <v>6211</v>
      </c>
      <c r="B6272" s="138">
        <f>'Acct Summary 7-8'!H82</f>
        <v>-23447</v>
      </c>
      <c r="D6272" s="2" t="str">
        <f t="shared" si="97"/>
        <v>Error?</v>
      </c>
      <c r="E6272" s="2" t="s">
        <v>199</v>
      </c>
    </row>
    <row r="6273" spans="1:5" x14ac:dyDescent="0.2">
      <c r="A6273">
        <v>6212</v>
      </c>
      <c r="B6273" s="138">
        <f>'Acct Summary 7-8'!I82</f>
        <v>5058</v>
      </c>
      <c r="D6273" s="2" t="str">
        <f t="shared" si="97"/>
        <v>Error?</v>
      </c>
      <c r="E6273" s="2" t="s">
        <v>199</v>
      </c>
    </row>
    <row r="6274" spans="1:5" x14ac:dyDescent="0.2">
      <c r="A6274">
        <v>6213</v>
      </c>
      <c r="B6274" s="138">
        <f>'Acct Summary 7-8'!J82</f>
        <v>33797</v>
      </c>
      <c r="D6274" s="2" t="str">
        <f t="shared" si="97"/>
        <v>Error?</v>
      </c>
      <c r="E6274" s="2" t="s">
        <v>199</v>
      </c>
    </row>
    <row r="6275" spans="1:5" x14ac:dyDescent="0.2">
      <c r="A6275">
        <v>6214</v>
      </c>
      <c r="B6275" s="138">
        <f>'Acct Summary 7-8'!K82</f>
        <v>-11528</v>
      </c>
      <c r="D6275" s="2" t="str">
        <f t="shared" si="97"/>
        <v>Error?</v>
      </c>
      <c r="E6275" s="2" t="s">
        <v>199</v>
      </c>
    </row>
    <row r="6276" spans="1:5" x14ac:dyDescent="0.2">
      <c r="A6276">
        <v>6215</v>
      </c>
      <c r="B6276" s="138">
        <f>'Acct Summary 7-8'!C83</f>
        <v>4.4058052489390959E-2</v>
      </c>
      <c r="D6276" s="2" t="str">
        <f t="shared" si="97"/>
        <v>Error?</v>
      </c>
      <c r="E6276" s="2" t="s">
        <v>199</v>
      </c>
    </row>
    <row r="6277" spans="1:5" x14ac:dyDescent="0.2">
      <c r="A6277">
        <v>6216</v>
      </c>
      <c r="B6277" s="138">
        <f>'Acct Summary 7-8'!D83</f>
        <v>9.4029131250594478E-3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8.4026086469045677E-2</v>
      </c>
      <c r="D6279" s="2" t="str">
        <f t="shared" si="97"/>
        <v>Error?</v>
      </c>
      <c r="E6279" s="2" t="s">
        <v>199</v>
      </c>
    </row>
    <row r="6280" spans="1:5" x14ac:dyDescent="0.2">
      <c r="A6280">
        <v>6219</v>
      </c>
      <c r="B6280" s="138">
        <f>'Acct Summary 7-8'!G83</f>
        <v>5.512878324977253E-2</v>
      </c>
      <c r="D6280" s="2" t="str">
        <f t="shared" si="97"/>
        <v>Error?</v>
      </c>
      <c r="E6280" s="2" t="s">
        <v>199</v>
      </c>
    </row>
    <row r="6281" spans="1:5" x14ac:dyDescent="0.2">
      <c r="A6281">
        <v>6220</v>
      </c>
      <c r="B6281" s="138">
        <f>'Acct Summary 7-8'!H83</f>
        <v>-7.8558361756447967E-2</v>
      </c>
      <c r="D6281" s="2" t="str">
        <f t="shared" si="97"/>
        <v>Error?</v>
      </c>
      <c r="E6281" s="2" t="s">
        <v>199</v>
      </c>
    </row>
    <row r="6282" spans="1:5" x14ac:dyDescent="0.2">
      <c r="A6282">
        <v>6221</v>
      </c>
      <c r="B6282" s="138">
        <f>'Acct Summary 7-8'!I83</f>
        <v>1.2104532618580386E-2</v>
      </c>
      <c r="D6282" s="2" t="str">
        <f t="shared" si="97"/>
        <v>Error?</v>
      </c>
      <c r="E6282" s="2" t="s">
        <v>199</v>
      </c>
    </row>
    <row r="6283" spans="1:5" x14ac:dyDescent="0.2">
      <c r="A6283">
        <v>6222</v>
      </c>
      <c r="B6283" s="138">
        <f>'Acct Summary 7-8'!J83</f>
        <v>0.14057775097227709</v>
      </c>
      <c r="D6283" s="2" t="str">
        <f t="shared" si="97"/>
        <v>Error?</v>
      </c>
      <c r="E6283" s="2" t="s">
        <v>199</v>
      </c>
    </row>
    <row r="6284" spans="1:5" x14ac:dyDescent="0.2">
      <c r="A6284">
        <v>6223</v>
      </c>
      <c r="B6284" s="138">
        <f>'Acct Summary 7-8'!K83</f>
        <v>-0.22626992227369083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88256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88256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1302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1302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89558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12044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49995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55268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70383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12489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32396</v>
      </c>
      <c r="D6987" s="2" t="str">
        <f t="shared" si="108"/>
        <v>Error?</v>
      </c>
    </row>
    <row r="6988" spans="1:4" x14ac:dyDescent="0.2">
      <c r="A6988">
        <v>6927</v>
      </c>
      <c r="B6988" s="138">
        <f>'Expenditures 15-22'!K88</f>
        <v>32396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32396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55761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89558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3203</v>
      </c>
      <c r="D7073" s="2" t="str">
        <f t="shared" si="109"/>
        <v>Error?</v>
      </c>
    </row>
    <row r="7074" spans="1:4" x14ac:dyDescent="0.2">
      <c r="A7074">
        <v>7013</v>
      </c>
      <c r="B7074" s="138">
        <f>'Expenditures 15-22'!K216</f>
        <v>3203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368</v>
      </c>
      <c r="D7077" s="2" t="str">
        <f t="shared" si="109"/>
        <v>Error?</v>
      </c>
    </row>
    <row r="7078" spans="1:4" x14ac:dyDescent="0.2">
      <c r="A7078">
        <v>7017</v>
      </c>
      <c r="B7078" s="138">
        <f>'Expenditures 15-22'!K220</f>
        <v>368</v>
      </c>
      <c r="D7078" s="2" t="str">
        <f t="shared" si="109"/>
        <v>Error?</v>
      </c>
    </row>
    <row r="7079" spans="1:4" x14ac:dyDescent="0.2">
      <c r="A7079">
        <v>7018</v>
      </c>
      <c r="B7079" s="138">
        <f>'Expenditures 15-22'!D226</f>
        <v>152</v>
      </c>
      <c r="D7079" s="2" t="str">
        <f t="shared" si="109"/>
        <v>Error?</v>
      </c>
    </row>
    <row r="7080" spans="1:4" x14ac:dyDescent="0.2">
      <c r="A7080">
        <v>7019</v>
      </c>
      <c r="B7080" s="138">
        <f>'Expenditures 15-22'!K226</f>
        <v>152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23559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23559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32202</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32202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32202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23559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55761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32202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23559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55761</v>
      </c>
      <c r="D7224" s="2" t="str">
        <f t="shared" si="111"/>
        <v>Error?</v>
      </c>
    </row>
    <row r="7225" spans="1:4" x14ac:dyDescent="0.2">
      <c r="A7225">
        <v>7164</v>
      </c>
      <c r="B7225" s="138">
        <f>'Expenditures 15-22'!K343</f>
        <v>33797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4228</v>
      </c>
      <c r="D7246" s="2" t="str">
        <f t="shared" si="112"/>
        <v>Error?</v>
      </c>
    </row>
    <row r="7247" spans="1:4" x14ac:dyDescent="0.2">
      <c r="A7247">
        <f t="shared" si="113"/>
        <v>7186</v>
      </c>
      <c r="B7247" s="138">
        <f>'Expenditures 15-22'!E7</f>
        <v>154</v>
      </c>
      <c r="D7247" s="2" t="str">
        <f t="shared" si="112"/>
        <v>Error?</v>
      </c>
    </row>
    <row r="7248" spans="1:4" x14ac:dyDescent="0.2">
      <c r="A7248">
        <f t="shared" si="113"/>
        <v>7187</v>
      </c>
      <c r="B7248" s="138">
        <f>'Expenditures 15-22'!F7</f>
        <v>891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55591</v>
      </c>
      <c r="D7251" s="2" t="str">
        <f t="shared" si="112"/>
        <v>Error?</v>
      </c>
    </row>
    <row r="7252" spans="1:4" x14ac:dyDescent="0.2">
      <c r="A7252">
        <f t="shared" si="113"/>
        <v>7191</v>
      </c>
      <c r="B7252" s="138">
        <f>'Expenditures 15-22'!D9</f>
        <v>5340</v>
      </c>
      <c r="D7252" s="2" t="str">
        <f t="shared" si="112"/>
        <v>Error?</v>
      </c>
    </row>
    <row r="7253" spans="1:4" x14ac:dyDescent="0.2">
      <c r="A7253">
        <f t="shared" si="113"/>
        <v>7192</v>
      </c>
      <c r="B7253" s="138">
        <f>'Expenditures 15-22'!E9</f>
        <v>9452</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10501</v>
      </c>
      <c r="D7263" s="2" t="str">
        <f t="shared" si="112"/>
        <v>Error?</v>
      </c>
    </row>
    <row r="7264" spans="1:4" x14ac:dyDescent="0.2">
      <c r="A7264">
        <f t="shared" si="113"/>
        <v>7203</v>
      </c>
      <c r="B7264" s="138">
        <f>'Expenditures 15-22'!D17</f>
        <v>996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992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360536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321913</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17</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650</v>
      </c>
      <c r="D7712" s="2" t="str">
        <f t="shared" si="126"/>
        <v>Error?</v>
      </c>
      <c r="E7712" s="2" t="s">
        <v>881</v>
      </c>
    </row>
    <row r="7713" spans="1:6" x14ac:dyDescent="0.2">
      <c r="A7713">
        <v>7652</v>
      </c>
      <c r="B7713" s="138">
        <f>'Rest Tax Levies-Tort Im 25'!J8</f>
        <v>142646</v>
      </c>
      <c r="D7713" s="2" t="str">
        <f t="shared" si="126"/>
        <v>Error?</v>
      </c>
      <c r="E7713" s="2" t="s">
        <v>881</v>
      </c>
    </row>
    <row r="7714" spans="1:6" x14ac:dyDescent="0.2">
      <c r="A7714">
        <v>7653</v>
      </c>
      <c r="B7714" s="138">
        <f>'Rest Tax Levies-Tort Im 25'!K9</f>
        <v>2498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142663</v>
      </c>
      <c r="D7718" s="2" t="str">
        <f t="shared" si="126"/>
        <v>Error?</v>
      </c>
      <c r="E7718" s="2" t="s">
        <v>881</v>
      </c>
    </row>
    <row r="7719" spans="1:6" x14ac:dyDescent="0.2">
      <c r="A7719">
        <v>7658</v>
      </c>
      <c r="B7719" s="138">
        <f>'Rest Tax Levies-Tort Im 25'!K12</f>
        <v>3148</v>
      </c>
      <c r="D7719" s="2" t="str">
        <f t="shared" si="126"/>
        <v>Error?</v>
      </c>
      <c r="E7719" s="2" t="s">
        <v>881</v>
      </c>
    </row>
    <row r="7720" spans="1:6" x14ac:dyDescent="0.2">
      <c r="A7720">
        <v>7659</v>
      </c>
      <c r="B7720" s="138">
        <f>'Rest Tax Levies-Tort Im 25'!H14</f>
        <v>52708</v>
      </c>
      <c r="D7720" s="2" t="str">
        <f t="shared" si="126"/>
        <v>Error?</v>
      </c>
      <c r="E7720" s="2" t="s">
        <v>881</v>
      </c>
    </row>
    <row r="7721" spans="1:6" x14ac:dyDescent="0.2">
      <c r="A7721">
        <v>7660</v>
      </c>
      <c r="B7721" s="138">
        <f>'Rest Tax Levies-Tort Im 25'!K14</f>
        <v>3148</v>
      </c>
      <c r="D7721" s="2" t="str">
        <f t="shared" si="126"/>
        <v>Error?</v>
      </c>
      <c r="E7721" s="2" t="s">
        <v>881</v>
      </c>
    </row>
    <row r="7722" spans="1:6" x14ac:dyDescent="0.2">
      <c r="A7722">
        <v>7661</v>
      </c>
      <c r="B7722" s="138">
        <f>'Rest Tax Levies-Tort Im 25'!J15</f>
        <v>166110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166110</v>
      </c>
      <c r="D7730" s="2" t="str">
        <f t="shared" si="126"/>
        <v>Error?</v>
      </c>
      <c r="E7730" s="2" t="s">
        <v>881</v>
      </c>
    </row>
    <row r="7731" spans="1:6" x14ac:dyDescent="0.2">
      <c r="A7731">
        <v>7670</v>
      </c>
      <c r="B7731" s="138">
        <f>'Revenues 9-14'!H103</f>
        <v>142646</v>
      </c>
      <c r="D7731" s="2" t="str">
        <f t="shared" si="126"/>
        <v>Error?</v>
      </c>
      <c r="E7731" s="2" t="s">
        <v>881</v>
      </c>
    </row>
    <row r="7732" spans="1:6" x14ac:dyDescent="0.2">
      <c r="A7732">
        <v>7671</v>
      </c>
      <c r="B7732" s="138">
        <f>'Rest Tax Levies-Tort Im 25'!J24</f>
        <v>298466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298466</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55716</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30716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1253</v>
      </c>
      <c r="B2" s="2405"/>
      <c r="C2" s="2405"/>
      <c r="D2" s="2405"/>
      <c r="E2" s="2405"/>
      <c r="F2" s="2405"/>
      <c r="G2" s="2405"/>
      <c r="H2" s="2405"/>
      <c r="I2" s="2405"/>
      <c r="J2" s="2405"/>
      <c r="K2" s="2405"/>
      <c r="L2" s="2405"/>
    </row>
    <row r="3" spans="1:29" ht="13.5" customHeight="1" x14ac:dyDescent="0.2">
      <c r="A3" s="2436" t="s">
        <v>1252</v>
      </c>
      <c r="B3" s="2436"/>
      <c r="C3" s="2436"/>
      <c r="D3" s="2436"/>
      <c r="E3" s="2436"/>
      <c r="F3" s="2436"/>
      <c r="G3" s="2436"/>
      <c r="H3" s="2436"/>
      <c r="I3" s="2436"/>
      <c r="J3" s="2436"/>
      <c r="K3" s="2436"/>
      <c r="L3" s="2436"/>
    </row>
    <row r="4" spans="1:29" ht="13.5" customHeight="1" x14ac:dyDescent="0.2">
      <c r="A4" s="2405" t="s">
        <v>1799</v>
      </c>
      <c r="B4" s="2426"/>
      <c r="C4" s="2426"/>
      <c r="D4" s="2426"/>
      <c r="E4" s="2426"/>
      <c r="F4" s="2426"/>
      <c r="G4" s="2426"/>
      <c r="H4" s="2426"/>
      <c r="I4" s="2426"/>
      <c r="J4" s="2426"/>
      <c r="K4" s="2426"/>
      <c r="L4" s="242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7" t="str">
        <f>COVER!A17</f>
        <v>Scales Mound CUSD 211</v>
      </c>
      <c r="B7" s="2428"/>
      <c r="C7" s="2428"/>
      <c r="D7" s="2429"/>
      <c r="E7" s="2430">
        <f>COVER!A13</f>
        <v>8043211026</v>
      </c>
      <c r="F7" s="2431"/>
      <c r="G7" s="2437" t="str">
        <f>COVER!T23</f>
        <v>066-004238</v>
      </c>
      <c r="H7" s="2438"/>
      <c r="I7" s="2438"/>
      <c r="J7" s="2438"/>
      <c r="K7" s="2438"/>
      <c r="L7" s="2439"/>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0"/>
      <c r="B9" s="2441"/>
      <c r="C9" s="2441"/>
      <c r="D9" s="2441"/>
      <c r="E9" s="2441"/>
      <c r="F9" s="2442"/>
      <c r="G9" s="2411" t="str">
        <f>COVER!T13</f>
        <v>BENNING GROUP, LLC</v>
      </c>
      <c r="H9" s="2443"/>
      <c r="I9" s="2443"/>
      <c r="J9" s="2443"/>
      <c r="K9" s="2443"/>
      <c r="L9" s="2444"/>
    </row>
    <row r="10" spans="1:29" ht="13.5" customHeight="1" x14ac:dyDescent="0.2">
      <c r="A10" s="2417" t="str">
        <f>COVER!A38</f>
        <v>DR. WILLIAM CARON</v>
      </c>
      <c r="B10" s="2418"/>
      <c r="C10" s="2418"/>
      <c r="D10" s="2418"/>
      <c r="E10" s="2418"/>
      <c r="F10" s="2419"/>
      <c r="G10" s="2411" t="str">
        <f>COVER!T17</f>
        <v>50 W. DOUGLAS STREET, SUITE 801</v>
      </c>
      <c r="H10" s="2412"/>
      <c r="I10" s="2412"/>
      <c r="J10" s="2412"/>
      <c r="K10" s="2412"/>
      <c r="L10" s="2413"/>
    </row>
    <row r="11" spans="1:29" ht="13.5" customHeight="1" x14ac:dyDescent="0.2">
      <c r="A11" s="1184" t="s">
        <v>1599</v>
      </c>
      <c r="B11" s="1185"/>
      <c r="C11" s="1186"/>
      <c r="D11" s="1191"/>
      <c r="E11" s="1186"/>
      <c r="F11" s="1190"/>
      <c r="G11" s="2411" t="str">
        <f>COVER!T19</f>
        <v>FREEPORT</v>
      </c>
      <c r="H11" s="2412"/>
      <c r="I11" s="2412"/>
      <c r="J11" s="2412"/>
      <c r="K11" s="2412"/>
      <c r="L11" s="2413"/>
    </row>
    <row r="12" spans="1:29" ht="13.5" customHeight="1" x14ac:dyDescent="0.2">
      <c r="A12" s="2420" t="s">
        <v>1598</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1600</v>
      </c>
      <c r="H13" s="2407"/>
      <c r="I13" s="2423" t="str">
        <f>COVER!T25</f>
        <v>jblocker@benninggroup.com</v>
      </c>
      <c r="J13" s="2424"/>
      <c r="K13" s="2424"/>
      <c r="L13" s="2425"/>
    </row>
    <row r="14" spans="1:29" ht="13.5" customHeight="1" x14ac:dyDescent="0.2">
      <c r="A14" s="2411" t="str">
        <f>COVER!A19</f>
        <v>210 MAIN STREET</v>
      </c>
      <c r="B14" s="2412"/>
      <c r="C14" s="2412"/>
      <c r="D14" s="2412"/>
      <c r="E14" s="2412"/>
      <c r="F14" s="2413"/>
      <c r="G14" s="1195" t="s">
        <v>1247</v>
      </c>
      <c r="H14" s="1193"/>
      <c r="I14" s="1193"/>
      <c r="J14" s="1193"/>
      <c r="K14" s="1193"/>
      <c r="L14" s="1194"/>
    </row>
    <row r="15" spans="1:29" ht="13.5" customHeight="1" x14ac:dyDescent="0.2">
      <c r="A15" s="2411" t="str">
        <f>COVER!A21</f>
        <v>SCALES MOUND</v>
      </c>
      <c r="B15" s="2412"/>
      <c r="C15" s="2412"/>
      <c r="D15" s="2412"/>
      <c r="E15" s="2412"/>
      <c r="F15" s="2413"/>
      <c r="G15" s="2408" t="str">
        <f>COVER!T15</f>
        <v>JENNY L. BLOCKER</v>
      </c>
      <c r="H15" s="2409"/>
      <c r="I15" s="2409"/>
      <c r="J15" s="2409"/>
      <c r="K15" s="2409"/>
      <c r="L15" s="2410"/>
    </row>
    <row r="16" spans="1:29" ht="12.2" customHeight="1" x14ac:dyDescent="0.2">
      <c r="A16" s="2433">
        <f>COVER!A25</f>
        <v>61075</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5" t="s">
        <v>1246</v>
      </c>
      <c r="H17" s="1193"/>
      <c r="I17" s="1193"/>
      <c r="J17" s="1193"/>
      <c r="K17" s="1197" t="s">
        <v>1245</v>
      </c>
      <c r="L17" s="1190"/>
      <c r="M17" s="1183"/>
    </row>
    <row r="18" spans="1:13" ht="12.2" customHeight="1" x14ac:dyDescent="0.2">
      <c r="A18" s="2417"/>
      <c r="B18" s="2418"/>
      <c r="C18" s="2418"/>
      <c r="D18" s="2418"/>
      <c r="E18" s="2418"/>
      <c r="F18" s="2419"/>
      <c r="G18" s="2427" t="str">
        <f>COVER!T21</f>
        <v>815/235-3157</v>
      </c>
      <c r="H18" s="2428"/>
      <c r="I18" s="2428"/>
      <c r="J18" s="2428"/>
      <c r="K18" s="2427" t="str">
        <f>COVER!X21</f>
        <v>815/235-3158</v>
      </c>
      <c r="L18" s="243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9" t="str">
        <f>'Single Audit Cover'!A7</f>
        <v>Scales Mound CUSD 211</v>
      </c>
      <c r="B1" s="2426"/>
      <c r="C1" s="2426"/>
      <c r="D1" s="2426"/>
    </row>
    <row r="2" spans="1:11" s="1214" customFormat="1" ht="12.75" x14ac:dyDescent="0.2">
      <c r="A2" s="2450">
        <f>'Single Audit Cover'!E7</f>
        <v>8043211026</v>
      </c>
      <c r="B2" s="2451"/>
      <c r="C2" s="2451"/>
      <c r="D2" s="2451"/>
    </row>
    <row r="3" spans="1:11" s="1214" customFormat="1" ht="12.75" x14ac:dyDescent="0.2">
      <c r="A3" s="2449" t="s">
        <v>1593</v>
      </c>
      <c r="B3" s="2426"/>
      <c r="C3" s="2426"/>
      <c r="D3" s="2426"/>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3" t="str">
        <f>'Single Audit Cover'!A7</f>
        <v>Scales Mound CUSD 211</v>
      </c>
      <c r="B1" s="2453"/>
      <c r="C1" s="2453"/>
      <c r="D1" s="2453"/>
      <c r="E1" s="2453"/>
    </row>
    <row r="2" spans="1:5" x14ac:dyDescent="0.2">
      <c r="A2" s="2454">
        <f>'Single Audit Cover'!E7</f>
        <v>8043211026</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59" t="s">
        <v>1305</v>
      </c>
    </row>
    <row r="10" spans="1:5" x14ac:dyDescent="0.2">
      <c r="A10" s="1260" t="s">
        <v>1304</v>
      </c>
      <c r="B10" s="1261" t="s">
        <v>1303</v>
      </c>
      <c r="C10" s="1261"/>
      <c r="D10" s="1262">
        <f>SUM('Acct Summary 7-8'!C7:K7)</f>
        <v>159812</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9552</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-2252</v>
      </c>
    </row>
    <row r="19" spans="1:4" ht="13.5" thickBot="1" x14ac:dyDescent="0.25">
      <c r="A19" s="1264" t="s">
        <v>1297</v>
      </c>
      <c r="D19" s="1265">
        <f>SUM(D10:D17)</f>
        <v>167112</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5"/>
      <c r="B24" s="2455"/>
      <c r="D24" s="1267"/>
    </row>
    <row r="25" spans="1:4" x14ac:dyDescent="0.2">
      <c r="A25" s="2452"/>
      <c r="B25" s="2452"/>
      <c r="D25" s="1267"/>
    </row>
    <row r="26" spans="1:4" x14ac:dyDescent="0.2">
      <c r="A26" s="2452"/>
      <c r="B26" s="2452"/>
      <c r="D26" s="1267"/>
    </row>
    <row r="27" spans="1:4" x14ac:dyDescent="0.2">
      <c r="A27" s="2452"/>
      <c r="B27" s="2452"/>
      <c r="D27" s="1267"/>
    </row>
    <row r="28" spans="1:4" x14ac:dyDescent="0.2">
      <c r="A28" s="2452"/>
      <c r="B28" s="2452"/>
      <c r="D28" s="1267"/>
    </row>
    <row r="29" spans="1:4" x14ac:dyDescent="0.2">
      <c r="A29" s="2452"/>
      <c r="B29" s="2452"/>
      <c r="D29" s="1267"/>
    </row>
    <row r="30" spans="1:4" x14ac:dyDescent="0.2">
      <c r="A30" s="2452"/>
      <c r="B30" s="2452"/>
      <c r="D30" s="1267"/>
    </row>
    <row r="32" spans="1:4" x14ac:dyDescent="0.2">
      <c r="A32" s="1259" t="s">
        <v>1295</v>
      </c>
      <c r="D32" s="1262">
        <f>SUM(D19:D30)</f>
        <v>167112</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2"/>
      <c r="B40" s="2452"/>
      <c r="D40" s="1267"/>
    </row>
    <row r="41" spans="1:4" x14ac:dyDescent="0.2">
      <c r="A41" s="2452"/>
      <c r="B41" s="2452"/>
      <c r="D41" s="1270"/>
    </row>
    <row r="42" spans="1:4" x14ac:dyDescent="0.2">
      <c r="A42" s="2452"/>
      <c r="B42" s="2452"/>
      <c r="D42" s="1270"/>
    </row>
    <row r="43" spans="1:4" x14ac:dyDescent="0.2">
      <c r="A43" s="2452"/>
      <c r="B43" s="2452"/>
      <c r="D43" s="1270"/>
    </row>
    <row r="44" spans="1:4" x14ac:dyDescent="0.2">
      <c r="A44" s="2452"/>
      <c r="B44" s="2452"/>
      <c r="D44" s="1270"/>
    </row>
    <row r="45" spans="1:4" x14ac:dyDescent="0.2">
      <c r="A45" s="2452"/>
      <c r="B45" s="2452"/>
      <c r="D45" s="1270"/>
    </row>
    <row r="47" spans="1:4" x14ac:dyDescent="0.2">
      <c r="B47" s="1271" t="s">
        <v>1289</v>
      </c>
      <c r="C47" s="1271"/>
      <c r="D47" s="1272">
        <f>SUM(D35:D45)</f>
        <v>0</v>
      </c>
    </row>
    <row r="49" spans="2:4" x14ac:dyDescent="0.2">
      <c r="B49" s="1271" t="s">
        <v>1288</v>
      </c>
      <c r="C49" s="1271"/>
      <c r="D49" s="1272">
        <f>D32-D47</f>
        <v>167112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Scales Mound CUSD 211</v>
      </c>
      <c r="B1" s="2466"/>
      <c r="C1" s="2466"/>
      <c r="D1" s="2466"/>
      <c r="E1" s="2466"/>
      <c r="F1" s="2466"/>
    </row>
    <row r="2" spans="1:7" ht="13.5" customHeight="1" x14ac:dyDescent="0.2">
      <c r="A2" s="2467">
        <f>'Single Audit Cover'!E7</f>
        <v>8043211026</v>
      </c>
      <c r="B2" s="2467"/>
      <c r="C2" s="2467"/>
      <c r="D2" s="2467"/>
      <c r="E2" s="2467"/>
      <c r="F2" s="2467"/>
      <c r="G2" s="1274"/>
    </row>
    <row r="3" spans="1:7" ht="15.75" customHeight="1" x14ac:dyDescent="0.2">
      <c r="A3" s="2468" t="s">
        <v>1333</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75" t="s">
        <v>1831</v>
      </c>
      <c r="C6" s="317"/>
      <c r="D6" s="317"/>
    </row>
    <row r="7" spans="1:7" ht="60.95" customHeight="1" x14ac:dyDescent="0.2">
      <c r="A7" s="2465" t="s">
        <v>1832</v>
      </c>
      <c r="B7" s="2465"/>
      <c r="C7" s="2465"/>
      <c r="D7" s="2465"/>
      <c r="E7" s="2465"/>
      <c r="F7" s="2465"/>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5" t="s">
        <v>1834</v>
      </c>
      <c r="B13" s="2465"/>
      <c r="C13" s="2465"/>
      <c r="D13" s="2465"/>
      <c r="E13" s="2465"/>
      <c r="F13" s="2465"/>
    </row>
    <row r="14" spans="1:7" ht="9.75" customHeight="1" x14ac:dyDescent="0.2">
      <c r="C14" s="1259"/>
      <c r="D14" s="1259"/>
    </row>
    <row r="15" spans="1:7" ht="13.5" customHeight="1" x14ac:dyDescent="0.2">
      <c r="C15" s="1870" t="s">
        <v>1332</v>
      </c>
      <c r="D15" s="2463" t="s">
        <v>1331</v>
      </c>
      <c r="E15" s="2463"/>
      <c r="F15" s="2463"/>
    </row>
    <row r="16" spans="1:7" ht="13.5" customHeight="1" x14ac:dyDescent="0.2">
      <c r="A16" s="1281"/>
      <c r="B16" s="1275" t="s">
        <v>1330</v>
      </c>
      <c r="C16" s="1870" t="s">
        <v>1329</v>
      </c>
      <c r="D16" s="2464" t="s">
        <v>1670</v>
      </c>
      <c r="E16" s="2464"/>
      <c r="F16" s="2464"/>
    </row>
    <row r="17" spans="1:6" ht="20.45" customHeight="1" x14ac:dyDescent="0.2">
      <c r="A17" s="1282"/>
      <c r="B17" s="1283"/>
      <c r="C17" s="1284"/>
      <c r="D17" s="2458"/>
      <c r="E17" s="2458"/>
      <c r="F17" s="2458"/>
    </row>
    <row r="18" spans="1:6" ht="20.65" customHeight="1" x14ac:dyDescent="0.2">
      <c r="A18" s="1282"/>
      <c r="B18" s="1283"/>
      <c r="C18" s="1284"/>
      <c r="D18" s="2458"/>
      <c r="E18" s="2458"/>
      <c r="F18" s="2458"/>
    </row>
    <row r="19" spans="1:6" ht="20.65" customHeight="1" x14ac:dyDescent="0.2">
      <c r="A19" s="1282"/>
      <c r="B19" s="1283"/>
      <c r="C19" s="1284"/>
      <c r="D19" s="2458"/>
      <c r="E19" s="2458"/>
      <c r="F19" s="2458"/>
    </row>
    <row r="20" spans="1:6" ht="20.65" customHeight="1" x14ac:dyDescent="0.2">
      <c r="A20" s="1282"/>
      <c r="B20" s="1283"/>
      <c r="C20" s="1284"/>
      <c r="D20" s="2458"/>
      <c r="E20" s="2458"/>
      <c r="F20" s="2458"/>
    </row>
    <row r="21" spans="1:6" ht="20.65" customHeight="1" x14ac:dyDescent="0.2">
      <c r="A21" s="1282"/>
      <c r="B21" s="1283"/>
      <c r="C21" s="1284"/>
      <c r="D21" s="2458"/>
      <c r="E21" s="2458"/>
      <c r="F21" s="2458"/>
    </row>
    <row r="22" spans="1:6" ht="20.65" customHeight="1" x14ac:dyDescent="0.2">
      <c r="A22" s="1282"/>
      <c r="B22" s="1283"/>
      <c r="C22" s="1284"/>
      <c r="D22" s="2458"/>
      <c r="E22" s="2458"/>
      <c r="F22" s="2458"/>
    </row>
    <row r="23" spans="1:6" ht="20.65" customHeight="1" x14ac:dyDescent="0.2">
      <c r="A23" s="1282"/>
      <c r="B23" s="1283"/>
      <c r="C23" s="1284"/>
      <c r="D23" s="2458"/>
      <c r="E23" s="2458"/>
      <c r="F23" s="2458"/>
    </row>
    <row r="24" spans="1:6" ht="20.65" customHeight="1" x14ac:dyDescent="0.2">
      <c r="A24" s="1282"/>
      <c r="B24" s="1283"/>
      <c r="C24" s="1284"/>
      <c r="D24" s="2458"/>
      <c r="E24" s="2458"/>
      <c r="F24" s="2458"/>
    </row>
    <row r="25" spans="1:6" ht="20.65" customHeight="1" x14ac:dyDescent="0.2">
      <c r="A25" s="1282"/>
      <c r="B25" s="1283"/>
      <c r="C25" s="1284"/>
      <c r="D25" s="2458"/>
      <c r="E25" s="2458"/>
      <c r="F25" s="2458"/>
    </row>
    <row r="26" spans="1:6" ht="20.65" customHeight="1" x14ac:dyDescent="0.2">
      <c r="A26" s="1282"/>
      <c r="B26" s="1283"/>
      <c r="C26" s="1284"/>
      <c r="D26" s="2458"/>
      <c r="E26" s="2458"/>
      <c r="F26" s="2458"/>
    </row>
    <row r="27" spans="1:6" ht="20.65" customHeight="1" x14ac:dyDescent="0.2">
      <c r="A27" s="1282"/>
      <c r="B27" s="1283"/>
      <c r="C27" s="1284"/>
      <c r="D27" s="2458"/>
      <c r="E27" s="2458"/>
      <c r="F27" s="2458"/>
    </row>
    <row r="28" spans="1:6" ht="20.65" customHeight="1" x14ac:dyDescent="0.2">
      <c r="A28" s="1282"/>
      <c r="B28" s="1283"/>
      <c r="C28" s="1284"/>
      <c r="D28" s="2458"/>
      <c r="E28" s="2458"/>
      <c r="F28" s="2458"/>
    </row>
    <row r="29" spans="1:6" ht="20.65" customHeight="1" x14ac:dyDescent="0.2">
      <c r="A29" s="1282"/>
      <c r="B29" s="1283"/>
      <c r="C29" s="1284"/>
      <c r="D29" s="2458"/>
      <c r="E29" s="2458"/>
      <c r="F29" s="2458"/>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59" t="s">
        <v>1835</v>
      </c>
      <c r="B32" s="2459"/>
      <c r="C32" s="2459"/>
      <c r="D32" s="2459"/>
      <c r="E32" s="2459"/>
      <c r="F32" s="2459"/>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0">
        <f>+C33+C34</f>
        <v>0</v>
      </c>
      <c r="F34" s="2461"/>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2" t="s">
        <v>1672</v>
      </c>
      <c r="C49" s="2462"/>
      <c r="D49" s="2462"/>
      <c r="E49" s="1398"/>
    </row>
    <row r="50" spans="1:5" s="1299" customFormat="1" ht="3.75" customHeight="1" x14ac:dyDescent="0.2">
      <c r="A50" s="1298"/>
      <c r="B50" s="1869"/>
      <c r="C50" s="1869"/>
      <c r="D50" s="1869"/>
      <c r="E50" s="1398"/>
    </row>
    <row r="51" spans="1:5" s="1299" customFormat="1" ht="20.25" customHeight="1" x14ac:dyDescent="0.2">
      <c r="A51" s="1300">
        <v>6</v>
      </c>
      <c r="B51" s="2457" t="s">
        <v>1632</v>
      </c>
      <c r="C51" s="2457"/>
      <c r="D51" s="2457"/>
    </row>
    <row r="52" spans="1:5" ht="14.25" customHeight="1" x14ac:dyDescent="0.2">
      <c r="A52" s="1300"/>
      <c r="B52" s="2457"/>
      <c r="C52" s="2457"/>
      <c r="D52" s="245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6" t="str">
        <f>'Single Audit Cover'!A7</f>
        <v>Scales Mound CUSD 211</v>
      </c>
      <c r="C1" s="2470"/>
      <c r="D1" s="2470"/>
      <c r="E1" s="2470"/>
      <c r="F1" s="2470"/>
      <c r="G1" s="2470"/>
      <c r="H1" s="2470"/>
      <c r="I1" s="2470"/>
      <c r="J1" s="2470"/>
      <c r="K1" s="2470"/>
      <c r="L1" s="2470"/>
      <c r="M1" s="2470"/>
    </row>
    <row r="2" spans="2:14" ht="15" x14ac:dyDescent="0.2">
      <c r="B2" s="2467">
        <f>'Single Audit Cover'!E7</f>
        <v>8043211026</v>
      </c>
      <c r="C2" s="2467"/>
      <c r="D2" s="2467"/>
      <c r="E2" s="2467"/>
      <c r="F2" s="2467"/>
      <c r="G2" s="2467"/>
      <c r="H2" s="2467"/>
      <c r="I2" s="2467"/>
      <c r="J2" s="2467"/>
      <c r="K2" s="2467"/>
      <c r="L2" s="2467"/>
      <c r="M2" s="2467"/>
      <c r="N2" s="1301"/>
    </row>
    <row r="3" spans="2:14" ht="15" x14ac:dyDescent="0.2">
      <c r="B3" s="2471" t="s">
        <v>1281</v>
      </c>
      <c r="C3" s="2471"/>
      <c r="D3" s="2471"/>
      <c r="E3" s="2471"/>
      <c r="F3" s="2471"/>
      <c r="G3" s="2471"/>
      <c r="H3" s="2471"/>
      <c r="I3" s="2471"/>
      <c r="J3" s="2471"/>
      <c r="K3" s="2471"/>
      <c r="L3" s="2471"/>
      <c r="M3" s="2471"/>
      <c r="N3" s="1301"/>
    </row>
    <row r="4" spans="2:14" ht="15" x14ac:dyDescent="0.2">
      <c r="B4" s="2472" t="str">
        <f>'Single Audit Cover'!A4</f>
        <v>Year Ending June 30, 2018</v>
      </c>
      <c r="C4" s="2472"/>
      <c r="D4" s="2472"/>
      <c r="E4" s="2472"/>
      <c r="F4" s="2472"/>
      <c r="G4" s="2472"/>
      <c r="H4" s="2472"/>
      <c r="I4" s="2472"/>
      <c r="J4" s="2472"/>
      <c r="K4" s="2472"/>
      <c r="L4" s="2472"/>
      <c r="M4" s="2472"/>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1840</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1951</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1841</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1842</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1843</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1844</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K143"/>
  <sheetViews>
    <sheetView showGridLines="0" defaultGridColor="0" topLeftCell="A104"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2087</v>
      </c>
      <c r="C53" s="179">
        <v>22</v>
      </c>
      <c r="D53" s="247" t="s">
        <v>1537</v>
      </c>
      <c r="E53" s="248"/>
      <c r="F53" s="249"/>
      <c r="G53" s="249" t="s">
        <v>1536</v>
      </c>
      <c r="H53" s="250">
        <v>35738</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2077</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Scales Mound CUSD 211</v>
      </c>
      <c r="C1" s="2485"/>
      <c r="D1" s="2485"/>
      <c r="E1" s="2485"/>
      <c r="F1" s="2485"/>
      <c r="G1" s="2485"/>
      <c r="H1" s="2485"/>
      <c r="I1" s="2485"/>
      <c r="J1" s="1421"/>
    </row>
    <row r="2" spans="2:10" s="317" customFormat="1" ht="12.75" customHeight="1" x14ac:dyDescent="0.2">
      <c r="B2" s="2486">
        <f>'Single Audit Cover'!E7</f>
        <v>8043211026</v>
      </c>
      <c r="C2" s="2487"/>
      <c r="D2" s="2487"/>
      <c r="E2" s="2487"/>
      <c r="F2" s="2487"/>
      <c r="G2" s="2487"/>
      <c r="H2" s="2487"/>
      <c r="I2" s="2487"/>
      <c r="J2" s="1421"/>
    </row>
    <row r="3" spans="2:10" s="317" customFormat="1" ht="12.75" customHeight="1" x14ac:dyDescent="0.2">
      <c r="B3" s="2488" t="s">
        <v>1347</v>
      </c>
      <c r="C3" s="2489"/>
      <c r="D3" s="2489"/>
      <c r="E3" s="2489"/>
      <c r="F3" s="2489"/>
      <c r="G3" s="2489"/>
      <c r="H3" s="2489"/>
      <c r="I3" s="2489"/>
      <c r="J3" s="1422"/>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8" t="s">
        <v>1346</v>
      </c>
      <c r="C7" s="2489"/>
      <c r="D7" s="2489"/>
      <c r="E7" s="2489"/>
      <c r="F7" s="2489"/>
      <c r="G7" s="2489"/>
      <c r="H7" s="2489"/>
      <c r="I7" s="2489"/>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0"/>
      <c r="D11" s="2490"/>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1"/>
      <c r="E29" s="2491"/>
      <c r="F29" s="2491"/>
      <c r="G29" s="2491"/>
      <c r="H29" s="2491"/>
      <c r="I29" s="2491"/>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2" t="s">
        <v>1854</v>
      </c>
      <c r="D37" s="2493"/>
      <c r="E37" s="2493"/>
      <c r="F37" s="2494"/>
      <c r="G37" s="2492" t="s">
        <v>1674</v>
      </c>
      <c r="H37" s="2493"/>
      <c r="I37" s="2494"/>
    </row>
    <row r="38" spans="2:9" ht="16.5" customHeight="1" x14ac:dyDescent="0.2">
      <c r="B38" s="1443"/>
      <c r="C38" s="2480"/>
      <c r="D38" s="2481"/>
      <c r="E38" s="2481"/>
      <c r="F38" s="2482"/>
      <c r="G38" s="2495"/>
      <c r="H38" s="2496"/>
      <c r="I38" s="2497"/>
    </row>
    <row r="39" spans="2:9" ht="16.5" customHeight="1" x14ac:dyDescent="0.2">
      <c r="B39" s="1443"/>
      <c r="C39" s="2480"/>
      <c r="D39" s="2481"/>
      <c r="E39" s="2481"/>
      <c r="F39" s="2482"/>
      <c r="G39" s="2483"/>
      <c r="H39" s="2483"/>
      <c r="I39" s="2483"/>
    </row>
    <row r="40" spans="2:9" ht="16.5" customHeight="1" x14ac:dyDescent="0.2">
      <c r="B40" s="1443"/>
      <c r="C40" s="2480"/>
      <c r="D40" s="2481"/>
      <c r="E40" s="2481"/>
      <c r="F40" s="2482"/>
      <c r="G40" s="2483"/>
      <c r="H40" s="2483"/>
      <c r="I40" s="2483"/>
    </row>
    <row r="41" spans="2:9" ht="16.5" customHeight="1" x14ac:dyDescent="0.2">
      <c r="B41" s="1443"/>
      <c r="C41" s="2480"/>
      <c r="D41" s="2481"/>
      <c r="E41" s="2481"/>
      <c r="F41" s="2482"/>
      <c r="G41" s="2483"/>
      <c r="H41" s="2483"/>
      <c r="I41" s="2483"/>
    </row>
    <row r="42" spans="2:9" ht="16.5" customHeight="1" x14ac:dyDescent="0.2">
      <c r="B42" s="1443"/>
      <c r="C42" s="2480"/>
      <c r="D42" s="2481"/>
      <c r="E42" s="2481"/>
      <c r="F42" s="2482"/>
      <c r="G42" s="2483"/>
      <c r="H42" s="2483"/>
      <c r="I42" s="2483"/>
    </row>
    <row r="43" spans="2:9" ht="16.5" customHeight="1" x14ac:dyDescent="0.2">
      <c r="B43" s="1443"/>
      <c r="C43" s="2473" t="s">
        <v>1675</v>
      </c>
      <c r="D43" s="2474"/>
      <c r="E43" s="2474"/>
      <c r="F43" s="2475"/>
      <c r="G43" s="2476">
        <f>SUM(G38:I42)</f>
        <v>0</v>
      </c>
      <c r="H43" s="2476"/>
      <c r="I43" s="2476"/>
    </row>
    <row r="44" spans="2:9" ht="12.75" customHeight="1" x14ac:dyDescent="0.2"/>
    <row r="45" spans="2:9" ht="12.75" customHeight="1" x14ac:dyDescent="0.2">
      <c r="B45" s="1434" t="s">
        <v>1952</v>
      </c>
      <c r="D45" s="2477">
        <v>0</v>
      </c>
      <c r="E45" s="2478"/>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79"/>
      <c r="F49" s="2479"/>
      <c r="G49" s="2479"/>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Scales Mound CUSD 211</v>
      </c>
      <c r="C1" s="2484"/>
      <c r="D1" s="2484"/>
      <c r="E1" s="2484"/>
      <c r="F1" s="2484"/>
      <c r="G1" s="2484"/>
      <c r="H1" s="2484"/>
      <c r="I1" s="2484"/>
      <c r="J1" s="2484"/>
      <c r="K1" s="2484"/>
      <c r="L1" s="1373"/>
      <c r="M1" s="1373"/>
    </row>
    <row r="2" spans="1:13" ht="12" customHeight="1" x14ac:dyDescent="0.2">
      <c r="B2" s="2486">
        <f>'Single Audit Cover'!E7</f>
        <v>8043211026</v>
      </c>
      <c r="C2" s="2486"/>
      <c r="D2" s="2486"/>
      <c r="E2" s="2486"/>
      <c r="F2" s="2486"/>
      <c r="G2" s="2486"/>
      <c r="H2" s="2486"/>
      <c r="I2" s="2486"/>
      <c r="J2" s="2486"/>
      <c r="K2" s="2486"/>
      <c r="L2" s="1374"/>
      <c r="M2" s="1375"/>
    </row>
    <row r="3" spans="1:13" ht="10.35" customHeight="1" x14ac:dyDescent="0.2">
      <c r="B3" s="2500" t="s">
        <v>1347</v>
      </c>
      <c r="C3" s="2500"/>
      <c r="D3" s="2500"/>
      <c r="E3" s="2500"/>
      <c r="F3" s="2500"/>
      <c r="G3" s="2500"/>
      <c r="H3" s="2500"/>
      <c r="I3" s="2500"/>
      <c r="J3" s="2500"/>
      <c r="K3" s="2500"/>
      <c r="L3" s="1376"/>
      <c r="M3" s="1376"/>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1" t="s">
        <v>1363</v>
      </c>
      <c r="C7" s="2501"/>
      <c r="D7" s="2502"/>
      <c r="E7" s="2502"/>
      <c r="F7" s="2502"/>
      <c r="G7" s="2502"/>
      <c r="H7" s="2502"/>
      <c r="I7" s="2502"/>
      <c r="J7" s="2502"/>
      <c r="K7" s="2502"/>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9"/>
      <c r="C14" s="2499"/>
      <c r="D14" s="2499"/>
      <c r="E14" s="2499"/>
      <c r="F14" s="2499"/>
      <c r="G14" s="2499"/>
      <c r="H14" s="2499"/>
      <c r="I14" s="2499"/>
      <c r="J14" s="2499"/>
      <c r="K14" s="2499"/>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9"/>
      <c r="C17" s="2499"/>
      <c r="D17" s="2499"/>
      <c r="E17" s="2499"/>
      <c r="F17" s="2499"/>
      <c r="G17" s="2499"/>
      <c r="H17" s="2499"/>
      <c r="I17" s="2499"/>
      <c r="J17" s="2499"/>
      <c r="K17" s="2499"/>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3"/>
      <c r="C20" s="2503"/>
      <c r="D20" s="2499"/>
      <c r="E20" s="2499"/>
      <c r="F20" s="2499"/>
      <c r="G20" s="2499"/>
      <c r="H20" s="2499"/>
      <c r="I20" s="2499"/>
      <c r="J20" s="2499"/>
      <c r="K20" s="2499"/>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9"/>
      <c r="C23" s="2499"/>
      <c r="D23" s="2499"/>
      <c r="E23" s="2499"/>
      <c r="F23" s="2499"/>
      <c r="G23" s="2499"/>
      <c r="H23" s="2499"/>
      <c r="I23" s="2499"/>
      <c r="J23" s="2499"/>
      <c r="K23" s="2499"/>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9"/>
      <c r="C26" s="2499"/>
      <c r="D26" s="2499"/>
      <c r="E26" s="2499"/>
      <c r="F26" s="2499"/>
      <c r="G26" s="2499"/>
      <c r="H26" s="2499"/>
      <c r="I26" s="2499"/>
      <c r="J26" s="2499"/>
      <c r="K26" s="2499"/>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8"/>
      <c r="C29" s="2498"/>
      <c r="D29" s="2499"/>
      <c r="E29" s="2499"/>
      <c r="F29" s="2499"/>
      <c r="G29" s="2499"/>
      <c r="H29" s="2499"/>
      <c r="I29" s="2499"/>
      <c r="J29" s="2499"/>
      <c r="K29" s="2499"/>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8"/>
      <c r="C32" s="2498"/>
      <c r="D32" s="2499"/>
      <c r="E32" s="2499"/>
      <c r="F32" s="2499"/>
      <c r="G32" s="2499"/>
      <c r="H32" s="2499"/>
      <c r="I32" s="2499"/>
      <c r="J32" s="2499"/>
      <c r="K32" s="2499"/>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O20" sqref="O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Scales Mound CUSD 211</v>
      </c>
      <c r="C1" s="2507"/>
      <c r="D1" s="2507"/>
      <c r="E1" s="2507"/>
      <c r="F1" s="2507"/>
      <c r="G1" s="2507"/>
      <c r="H1" s="2507"/>
      <c r="I1" s="2507"/>
      <c r="J1" s="2507"/>
      <c r="K1" s="2507"/>
      <c r="L1" s="1464"/>
    </row>
    <row r="2" spans="1:12" ht="12.75" customHeight="1" x14ac:dyDescent="0.2">
      <c r="B2" s="2508">
        <f>'Single Audit Cover'!E7</f>
        <v>8043211026</v>
      </c>
      <c r="C2" s="2508"/>
      <c r="D2" s="2508"/>
      <c r="E2" s="2508"/>
      <c r="F2" s="2508"/>
      <c r="G2" s="2508"/>
      <c r="H2" s="2508"/>
      <c r="I2" s="2508"/>
      <c r="J2" s="2508"/>
      <c r="K2" s="2508"/>
      <c r="L2" s="1465"/>
    </row>
    <row r="3" spans="1:12" ht="12.75" customHeight="1" x14ac:dyDescent="0.2">
      <c r="B3" s="2500" t="s">
        <v>1347</v>
      </c>
      <c r="C3" s="2500"/>
      <c r="D3" s="2500"/>
      <c r="E3" s="2500"/>
      <c r="F3" s="2500"/>
      <c r="G3" s="2500"/>
      <c r="H3" s="2500"/>
      <c r="I3" s="2500"/>
      <c r="J3" s="2500"/>
      <c r="K3" s="2500"/>
      <c r="L3" s="1376"/>
    </row>
    <row r="4" spans="1:12" ht="12.75" customHeight="1" x14ac:dyDescent="0.2">
      <c r="B4" s="2500" t="str">
        <f>'Single Audit Cover'!A4</f>
        <v>Year Ending June 30, 2018</v>
      </c>
      <c r="C4" s="2500"/>
      <c r="D4" s="2500"/>
      <c r="E4" s="2500"/>
      <c r="F4" s="2500"/>
      <c r="G4" s="2500"/>
      <c r="H4" s="2500"/>
      <c r="I4" s="2500"/>
      <c r="J4" s="2500"/>
      <c r="K4" s="2500"/>
      <c r="L4" s="1376"/>
    </row>
    <row r="5" spans="1:12" ht="5.25" customHeight="1" x14ac:dyDescent="0.2">
      <c r="B5" s="1259" t="s">
        <v>1231</v>
      </c>
      <c r="C5" s="1259"/>
      <c r="L5" s="322"/>
    </row>
    <row r="6" spans="1:12" ht="30.75" customHeight="1" x14ac:dyDescent="0.2">
      <c r="A6" s="322"/>
      <c r="B6" s="2509" t="s">
        <v>1375</v>
      </c>
      <c r="C6" s="2509"/>
      <c r="D6" s="2509"/>
      <c r="E6" s="2509"/>
      <c r="F6" s="2509"/>
      <c r="G6" s="2509"/>
      <c r="H6" s="2509"/>
      <c r="I6" s="2509"/>
      <c r="J6" s="2509"/>
      <c r="K6" s="2509"/>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1"/>
      <c r="G12" s="2491"/>
      <c r="H12" s="2491"/>
      <c r="I12" s="2491"/>
      <c r="J12" s="2491"/>
      <c r="K12" s="2491"/>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4"/>
      <c r="E14" s="2504"/>
      <c r="F14" s="2504"/>
      <c r="H14" s="1474" t="s">
        <v>1370</v>
      </c>
      <c r="I14" s="2505"/>
      <c r="J14" s="2505"/>
      <c r="K14" s="2505"/>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5"/>
      <c r="E16" s="2505"/>
      <c r="F16" s="2505"/>
      <c r="G16" s="2505"/>
      <c r="H16" s="2505"/>
      <c r="I16" s="2505"/>
      <c r="J16" s="2505"/>
      <c r="K16" s="2505"/>
      <c r="L16" s="322"/>
    </row>
    <row r="17" spans="2:12" ht="13.5" customHeight="1" x14ac:dyDescent="0.2">
      <c r="B17" s="1386" t="s">
        <v>1368</v>
      </c>
      <c r="C17" s="1386"/>
      <c r="D17" s="2506"/>
      <c r="E17" s="2506"/>
      <c r="F17" s="2506"/>
      <c r="G17" s="2506"/>
      <c r="H17" s="2506"/>
      <c r="I17" s="2506"/>
      <c r="J17" s="2506"/>
      <c r="K17" s="2506"/>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9"/>
      <c r="C20" s="2499"/>
      <c r="D20" s="2499"/>
      <c r="E20" s="2499"/>
      <c r="F20" s="2499"/>
      <c r="G20" s="2499"/>
      <c r="H20" s="2499"/>
      <c r="I20" s="2499"/>
      <c r="J20" s="2499"/>
      <c r="K20" s="2499"/>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4" t="str">
        <f>'Single Audit Cover'!A7</f>
        <v>Scales Mound CUSD 211</v>
      </c>
      <c r="C1" s="2484"/>
      <c r="D1" s="2484"/>
      <c r="E1" s="1490"/>
    </row>
    <row r="2" spans="2:5" s="1281" customFormat="1" ht="12.75" customHeight="1" x14ac:dyDescent="0.2">
      <c r="B2" s="2486">
        <f>'Single Audit Cover'!E7</f>
        <v>8043211026</v>
      </c>
      <c r="C2" s="2486"/>
      <c r="D2" s="2486"/>
      <c r="E2" s="1491"/>
    </row>
    <row r="3" spans="2:5" ht="12.75" customHeight="1" x14ac:dyDescent="0.2">
      <c r="B3" s="2500" t="s">
        <v>1869</v>
      </c>
      <c r="C3" s="2500"/>
      <c r="D3" s="2500"/>
      <c r="E3" s="1273"/>
    </row>
    <row r="4" spans="2:5" s="1281" customFormat="1" ht="12.75" customHeight="1" x14ac:dyDescent="0.2">
      <c r="B4" s="2510" t="str">
        <f>'Single Audit Cover'!A4</f>
        <v>Year Ending June 30, 2018</v>
      </c>
      <c r="C4" s="2510"/>
      <c r="D4" s="2510"/>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sheetPr>
  <dimension ref="A1:N72"/>
  <sheetViews>
    <sheetView showGridLines="0" defaultGridColor="0" topLeftCell="A10" colorId="8" zoomScale="110" zoomScaleNormal="110" workbookViewId="0">
      <selection activeCell="J25" sqref="J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95922792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3.1235200000000001E-2</v>
      </c>
      <c r="E10" s="356" t="s">
        <v>1062</v>
      </c>
      <c r="F10" s="355">
        <v>6.7635999999999998E-3</v>
      </c>
      <c r="G10" s="356" t="s">
        <v>1062</v>
      </c>
      <c r="H10" s="355">
        <v>3.5052E-3</v>
      </c>
      <c r="I10" s="356" t="s">
        <v>1063</v>
      </c>
      <c r="J10" s="1753">
        <f>ROUND(D10+F10+H10,5)</f>
        <v>4.1500000000000002E-2</v>
      </c>
      <c r="K10" s="222"/>
      <c r="L10" s="355">
        <v>1.01E-5</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4669044</v>
      </c>
      <c r="E16" s="356"/>
      <c r="F16" s="1754">
        <f>SUM('Acct Summary 7-8'!C17,'Acct Summary 7-8'!D17,'Acct Summary 7-8'!F17)</f>
        <v>4212806</v>
      </c>
      <c r="G16" s="356"/>
      <c r="H16" s="1754">
        <f>SUM(D16-F16)</f>
        <v>456238</v>
      </c>
      <c r="I16" s="222"/>
      <c r="J16" s="1754">
        <f>SUM('Acct Summary 7-8'!C81,'Acct Summary 7-8'!D81,'Acct Summary 7-8'!F81,'Acct Summary 7-8'!I81)</f>
        <v>10725611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13237345.296000002</v>
      </c>
      <c r="I31" s="368"/>
      <c r="J31" s="222"/>
      <c r="K31" s="222"/>
      <c r="L31" s="222"/>
      <c r="M31" s="222"/>
    </row>
    <row r="32" spans="1:13" ht="13.35" customHeight="1" x14ac:dyDescent="0.2">
      <c r="B32" s="369" t="s">
        <v>2087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sheetPr>
  <dimension ref="A1:R44"/>
  <sheetViews>
    <sheetView showGridLines="0" topLeftCell="A13" zoomScale="110" zoomScaleNormal="110" workbookViewId="0">
      <selection activeCell="S15" sqref="S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Scales Mound CUSD 211</v>
      </c>
      <c r="E7" s="391"/>
      <c r="G7" s="252"/>
      <c r="H7" s="387"/>
      <c r="I7" s="387"/>
      <c r="J7" s="387"/>
      <c r="K7" s="387"/>
      <c r="L7" s="329"/>
      <c r="M7" s="329"/>
      <c r="N7" s="329"/>
      <c r="O7" s="329"/>
      <c r="P7" s="329"/>
    </row>
    <row r="8" spans="1:18" ht="12.75" x14ac:dyDescent="0.2">
      <c r="A8" s="329"/>
      <c r="B8" s="329"/>
      <c r="C8" s="389" t="s">
        <v>1187</v>
      </c>
      <c r="D8" s="392">
        <f>COVER!A13</f>
        <v>8043211026</v>
      </c>
      <c r="E8" s="393"/>
      <c r="G8" s="329"/>
      <c r="H8" s="329"/>
      <c r="I8" s="329"/>
      <c r="J8" s="329"/>
      <c r="K8" s="329"/>
      <c r="L8" s="329"/>
      <c r="M8" s="329"/>
      <c r="N8" s="329"/>
      <c r="O8" s="329"/>
      <c r="P8" s="329"/>
    </row>
    <row r="9" spans="1:18" ht="12.75" x14ac:dyDescent="0.2">
      <c r="A9" s="329"/>
      <c r="B9" s="329"/>
      <c r="C9" s="389" t="s">
        <v>737</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10725611</v>
      </c>
      <c r="I12" s="404"/>
      <c r="J12" s="404"/>
      <c r="K12" s="405">
        <f>TRUNC((H12/H13*100000),5)/100000</f>
        <v>2.2971749677000002</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4669044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4212806</v>
      </c>
      <c r="I17" s="404"/>
      <c r="J17" s="416"/>
      <c r="K17" s="405">
        <f>TRUNC((H17/H18*100000),5)/100000</f>
        <v>0.90228449330000005</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4669044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10725885</v>
      </c>
      <c r="I24" s="422"/>
      <c r="J24" s="422"/>
      <c r="K24" s="423">
        <f>TRUNC(((H24/H25*100000)/100000),2)</f>
        <v>916.56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11702.238890000001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3383676.4877999998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13237345.296000002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sheetPr>
  <dimension ref="A1:N44"/>
  <sheetViews>
    <sheetView showGridLines="0" defaultGridColor="0" colorId="8" zoomScaleNormal="100" workbookViewId="0">
      <pane ySplit="2" topLeftCell="A24" activePane="bottomLeft" state="frozen"/>
      <selection activeCell="A47" sqref="A47"/>
      <selection pane="bottomLeft" activeCell="B45" sqref="B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0"/>
      <c r="D3" s="1581"/>
      <c r="E3" s="1581"/>
      <c r="F3" s="1581"/>
      <c r="G3" s="1581"/>
      <c r="H3" s="1581"/>
      <c r="I3" s="1581"/>
      <c r="J3" s="1581"/>
      <c r="K3" s="1581"/>
      <c r="L3" s="1581"/>
      <c r="M3" s="1582"/>
      <c r="N3" s="1583"/>
    </row>
    <row r="4" spans="1:14" ht="13.5" customHeight="1" x14ac:dyDescent="0.2">
      <c r="A4" s="463" t="s">
        <v>1750</v>
      </c>
      <c r="B4" s="464"/>
      <c r="C4" s="465">
        <v>6852213</v>
      </c>
      <c r="D4" s="466">
        <v>1850386</v>
      </c>
      <c r="E4" s="466"/>
      <c r="F4" s="466">
        <v>1605426</v>
      </c>
      <c r="G4" s="466">
        <v>374777</v>
      </c>
      <c r="H4" s="466">
        <v>298466</v>
      </c>
      <c r="I4" s="466">
        <v>417860</v>
      </c>
      <c r="J4" s="467">
        <v>240415</v>
      </c>
      <c r="K4" s="466">
        <v>50948</v>
      </c>
      <c r="L4" s="466">
        <v>468749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6852213</v>
      </c>
      <c r="D13" s="1758">
        <f t="shared" ref="D13:L13" si="0">SUM(D4:D12)</f>
        <v>1850386</v>
      </c>
      <c r="E13" s="1758">
        <f t="shared" si="0"/>
        <v>0</v>
      </c>
      <c r="F13" s="1758">
        <f t="shared" si="0"/>
        <v>1605426</v>
      </c>
      <c r="G13" s="1758">
        <f t="shared" si="0"/>
        <v>374777</v>
      </c>
      <c r="H13" s="1758">
        <f t="shared" si="0"/>
        <v>298466</v>
      </c>
      <c r="I13" s="1758">
        <f t="shared" si="0"/>
        <v>417860</v>
      </c>
      <c r="J13" s="1758">
        <f t="shared" si="0"/>
        <v>240415</v>
      </c>
      <c r="K13" s="1758">
        <f t="shared" si="0"/>
        <v>50948</v>
      </c>
      <c r="L13" s="1758">
        <f t="shared" si="0"/>
        <v>468749</v>
      </c>
      <c r="M13" s="468"/>
      <c r="N13" s="469"/>
    </row>
    <row r="14" spans="1:14" ht="18" customHeight="1" thickTop="1" x14ac:dyDescent="0.2">
      <c r="A14" s="2134" t="s">
        <v>149</v>
      </c>
      <c r="B14" s="2135"/>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67197</v>
      </c>
      <c r="N16" s="484"/>
    </row>
    <row r="17" spans="1:14" s="485" customFormat="1" ht="12.75" customHeight="1" x14ac:dyDescent="0.2">
      <c r="A17" s="482" t="s">
        <v>1470</v>
      </c>
      <c r="B17" s="483">
        <v>230</v>
      </c>
      <c r="C17" s="477"/>
      <c r="D17" s="477"/>
      <c r="E17" s="477"/>
      <c r="F17" s="477"/>
      <c r="G17" s="477"/>
      <c r="H17" s="477"/>
      <c r="I17" s="477"/>
      <c r="J17" s="477"/>
      <c r="K17" s="477"/>
      <c r="L17" s="477"/>
      <c r="M17" s="467">
        <v>6277284</v>
      </c>
      <c r="N17" s="484"/>
    </row>
    <row r="18" spans="1:14" s="485" customFormat="1" ht="12.75" customHeight="1" x14ac:dyDescent="0.2">
      <c r="A18" s="482" t="s">
        <v>1471</v>
      </c>
      <c r="B18" s="483">
        <v>240</v>
      </c>
      <c r="C18" s="477"/>
      <c r="D18" s="477"/>
      <c r="E18" s="477"/>
      <c r="F18" s="477"/>
      <c r="G18" s="477"/>
      <c r="H18" s="477"/>
      <c r="I18" s="477"/>
      <c r="J18" s="477"/>
      <c r="K18" s="477"/>
      <c r="L18" s="477"/>
      <c r="M18" s="467">
        <v>30656</v>
      </c>
      <c r="N18" s="484"/>
    </row>
    <row r="19" spans="1:14" s="485" customFormat="1" ht="12.75" customHeight="1" x14ac:dyDescent="0.2">
      <c r="A19" s="482" t="s">
        <v>1472</v>
      </c>
      <c r="B19" s="483">
        <v>250</v>
      </c>
      <c r="C19" s="477"/>
      <c r="D19" s="477"/>
      <c r="E19" s="477"/>
      <c r="F19" s="477"/>
      <c r="G19" s="477"/>
      <c r="H19" s="477"/>
      <c r="I19" s="477"/>
      <c r="J19" s="477"/>
      <c r="K19" s="477"/>
      <c r="L19" s="477"/>
      <c r="M19" s="467">
        <v>2055182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8430319</v>
      </c>
      <c r="N23" s="1709">
        <f>SUM(N21:N22)</f>
        <v>0</v>
      </c>
    </row>
    <row r="24" spans="1:14" ht="18" customHeight="1" thickTop="1" x14ac:dyDescent="0.2">
      <c r="A24" s="2136" t="s">
        <v>619</v>
      </c>
      <c r="B24" s="2137"/>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276</v>
      </c>
      <c r="D31" s="467">
        <v>2</v>
      </c>
      <c r="E31" s="467"/>
      <c r="F31" s="466">
        <v>-4</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468749</v>
      </c>
      <c r="M33" s="468"/>
      <c r="N33" s="469"/>
    </row>
    <row r="34" spans="1:14" ht="13.5" customHeight="1" thickBot="1" x14ac:dyDescent="0.25">
      <c r="A34" s="1759" t="s">
        <v>675</v>
      </c>
      <c r="B34" s="1760"/>
      <c r="C34" s="1761">
        <f>SUM(C25:C33)</f>
        <v>276</v>
      </c>
      <c r="D34" s="1761">
        <f t="shared" ref="D34:K34" si="1">SUM(D25:D33)</f>
        <v>2</v>
      </c>
      <c r="E34" s="1761">
        <f t="shared" si="1"/>
        <v>0</v>
      </c>
      <c r="F34" s="1761">
        <f t="shared" si="1"/>
        <v>-4</v>
      </c>
      <c r="G34" s="1761">
        <f t="shared" si="1"/>
        <v>0</v>
      </c>
      <c r="H34" s="1761">
        <f t="shared" si="1"/>
        <v>0</v>
      </c>
      <c r="I34" s="1761">
        <f t="shared" si="1"/>
        <v>0</v>
      </c>
      <c r="J34" s="1761">
        <f t="shared" si="1"/>
        <v>0</v>
      </c>
      <c r="K34" s="1761">
        <f t="shared" si="1"/>
        <v>0</v>
      </c>
      <c r="L34" s="1742">
        <f>SUM(L33)</f>
        <v>468749</v>
      </c>
      <c r="M34" s="468"/>
      <c r="N34" s="480"/>
    </row>
    <row r="35" spans="1:14" ht="18" customHeight="1" thickTop="1" x14ac:dyDescent="0.2">
      <c r="A35" s="2138" t="s">
        <v>550</v>
      </c>
      <c r="B35" s="2139"/>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v>62196</v>
      </c>
      <c r="H38" s="466">
        <v>298466</v>
      </c>
      <c r="I38" s="466"/>
      <c r="J38" s="467"/>
      <c r="K38" s="466"/>
      <c r="L38" s="481"/>
      <c r="M38" s="497"/>
      <c r="N38" s="497"/>
    </row>
    <row r="39" spans="1:14" s="329" customFormat="1" ht="13.5" customHeight="1" x14ac:dyDescent="0.2">
      <c r="A39" s="496" t="s">
        <v>360</v>
      </c>
      <c r="B39" s="483">
        <v>730</v>
      </c>
      <c r="C39" s="466">
        <v>6851937</v>
      </c>
      <c r="D39" s="466">
        <v>1850384</v>
      </c>
      <c r="E39" s="466"/>
      <c r="F39" s="466">
        <v>1605430</v>
      </c>
      <c r="G39" s="466">
        <v>312581</v>
      </c>
      <c r="H39" s="466"/>
      <c r="I39" s="466">
        <v>417860</v>
      </c>
      <c r="J39" s="467">
        <v>240415</v>
      </c>
      <c r="K39" s="466">
        <v>50948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8430319</v>
      </c>
      <c r="N40" s="497"/>
    </row>
    <row r="41" spans="1:14" ht="13.5" customHeight="1" thickBot="1" x14ac:dyDescent="0.25">
      <c r="A41" s="1757" t="s">
        <v>676</v>
      </c>
      <c r="B41" s="1727"/>
      <c r="C41" s="1709">
        <f>(SUM(C34,C37,C38,C39))</f>
        <v>6852213</v>
      </c>
      <c r="D41" s="1709">
        <f t="shared" ref="D41:L41" si="2">SUM(D34,D37,D38:D39)</f>
        <v>1850386</v>
      </c>
      <c r="E41" s="1709">
        <f t="shared" si="2"/>
        <v>0</v>
      </c>
      <c r="F41" s="1709">
        <f t="shared" si="2"/>
        <v>1605426</v>
      </c>
      <c r="G41" s="1709">
        <f t="shared" si="2"/>
        <v>374777</v>
      </c>
      <c r="H41" s="1709">
        <f t="shared" si="2"/>
        <v>298466</v>
      </c>
      <c r="I41" s="1709">
        <f t="shared" si="2"/>
        <v>417860</v>
      </c>
      <c r="J41" s="1709">
        <f t="shared" si="2"/>
        <v>240415</v>
      </c>
      <c r="K41" s="1709">
        <f t="shared" si="2"/>
        <v>50948</v>
      </c>
      <c r="L41" s="1709">
        <f t="shared" si="2"/>
        <v>468749</v>
      </c>
      <c r="M41" s="1709">
        <f>SUM(M40)</f>
        <v>8430319</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sheetPr>
  <dimension ref="A1:M87"/>
  <sheetViews>
    <sheetView showGridLines="0" defaultGridColor="0" colorId="8" zoomScaleNormal="100" zoomScaleSheetLayoutView="100" workbookViewId="0">
      <pane ySplit="2" topLeftCell="A69" activePane="bottomLeft" state="frozenSplit"/>
      <selection activeCell="A47" sqref="A47"/>
      <selection pane="bottomLeft" activeCell="I87" sqref="I8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4"/>
      <c r="D3" s="1595"/>
      <c r="E3" s="1595"/>
      <c r="F3" s="1595"/>
      <c r="G3" s="1595"/>
      <c r="H3" s="1595"/>
      <c r="I3" s="1595"/>
      <c r="J3" s="1595"/>
      <c r="K3" s="1596"/>
      <c r="L3" s="506"/>
    </row>
    <row r="4" spans="1:13" ht="15.75" customHeight="1" x14ac:dyDescent="0.2">
      <c r="A4" s="1953" t="s">
        <v>1579</v>
      </c>
      <c r="B4" s="1954">
        <v>1000</v>
      </c>
      <c r="C4" s="1763">
        <f>'Revenues 9-14'!C109</f>
        <v>3319425</v>
      </c>
      <c r="D4" s="1763">
        <f>'Revenues 9-14'!D109</f>
        <v>456195</v>
      </c>
      <c r="E4" s="1763">
        <f>'Revenues 9-14'!E109</f>
        <v>0</v>
      </c>
      <c r="F4" s="1763">
        <f>'Revenues 9-14'!F109</f>
        <v>331887</v>
      </c>
      <c r="G4" s="1763">
        <f>'Revenues 9-14'!G109</f>
        <v>148039</v>
      </c>
      <c r="H4" s="1763">
        <f>'Revenues 9-14'!H109</f>
        <v>142663</v>
      </c>
      <c r="I4" s="1763">
        <f>'Revenues 9-14'!I109</f>
        <v>5058</v>
      </c>
      <c r="J4" s="1763">
        <f>'Revenues 9-14'!J109</f>
        <v>89558</v>
      </c>
      <c r="K4" s="1763">
        <f>'Revenues 9-14'!K109</f>
        <v>5889</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295070</v>
      </c>
      <c r="D6" s="1764">
        <f>'Revenues 9-14'!D173</f>
        <v>0</v>
      </c>
      <c r="E6" s="1764">
        <f>'Revenues 9-14'!E173</f>
        <v>0</v>
      </c>
      <c r="F6" s="1764">
        <f>'Revenues 9-14'!F173</f>
        <v>101597</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159812</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3774307</v>
      </c>
      <c r="D8" s="1709">
        <f t="shared" ref="D8:K8" si="0">SUM(D4:D7)</f>
        <v>456195</v>
      </c>
      <c r="E8" s="1709">
        <f t="shared" si="0"/>
        <v>0</v>
      </c>
      <c r="F8" s="1709">
        <f t="shared" si="0"/>
        <v>433484</v>
      </c>
      <c r="G8" s="1709">
        <f t="shared" si="0"/>
        <v>148039</v>
      </c>
      <c r="H8" s="1709">
        <f t="shared" si="0"/>
        <v>142663</v>
      </c>
      <c r="I8" s="1709">
        <f t="shared" si="0"/>
        <v>5058</v>
      </c>
      <c r="J8" s="1709">
        <f t="shared" si="0"/>
        <v>89558</v>
      </c>
      <c r="K8" s="1709">
        <f t="shared" si="0"/>
        <v>5889</v>
      </c>
      <c r="L8" s="347"/>
    </row>
    <row r="9" spans="1:13" ht="15.75" thickTop="1" x14ac:dyDescent="0.2">
      <c r="A9" s="514" t="s">
        <v>1752</v>
      </c>
      <c r="B9" s="515">
        <v>3998</v>
      </c>
      <c r="C9" s="481">
        <v>254430</v>
      </c>
      <c r="D9" s="516"/>
      <c r="E9" s="481"/>
      <c r="F9" s="481"/>
      <c r="G9" s="517"/>
      <c r="H9" s="481"/>
      <c r="I9" s="509" t="s">
        <v>1231</v>
      </c>
      <c r="J9" s="478"/>
      <c r="K9" s="481"/>
      <c r="L9" s="347"/>
    </row>
    <row r="10" spans="1:13" s="519" customFormat="1" ht="13.5" thickBot="1" x14ac:dyDescent="0.25">
      <c r="A10" s="1757" t="s">
        <v>1235</v>
      </c>
      <c r="B10" s="1730"/>
      <c r="C10" s="1709">
        <f>SUM(C8:C9)</f>
        <v>4028737</v>
      </c>
      <c r="D10" s="1709">
        <f t="shared" ref="D10:K10" si="1">SUM(D8:D9)</f>
        <v>456195</v>
      </c>
      <c r="E10" s="1709">
        <f t="shared" si="1"/>
        <v>0</v>
      </c>
      <c r="F10" s="1709">
        <f t="shared" si="1"/>
        <v>433484</v>
      </c>
      <c r="G10" s="1709">
        <f t="shared" si="1"/>
        <v>148039</v>
      </c>
      <c r="H10" s="1709">
        <f t="shared" si="1"/>
        <v>142663</v>
      </c>
      <c r="I10" s="1709">
        <f t="shared" si="1"/>
        <v>5058</v>
      </c>
      <c r="J10" s="1709">
        <f t="shared" si="1"/>
        <v>89558</v>
      </c>
      <c r="K10" s="1709">
        <f t="shared" si="1"/>
        <v>5889</v>
      </c>
      <c r="L10" s="518"/>
    </row>
    <row r="11" spans="1:13" s="519" customFormat="1" ht="16.7" customHeight="1" thickTop="1" x14ac:dyDescent="0.2">
      <c r="A11" s="2134" t="s">
        <v>1238</v>
      </c>
      <c r="B11" s="2135"/>
      <c r="C11" s="1591"/>
      <c r="D11" s="1592"/>
      <c r="E11" s="1592"/>
      <c r="F11" s="1592"/>
      <c r="G11" s="1592"/>
      <c r="H11" s="1592"/>
      <c r="I11" s="1592"/>
      <c r="J11" s="1592"/>
      <c r="K11" s="1593"/>
      <c r="L11" s="518"/>
    </row>
    <row r="12" spans="1:13" ht="15.75" customHeight="1" x14ac:dyDescent="0.2">
      <c r="A12" s="1597" t="s">
        <v>476</v>
      </c>
      <c r="B12" s="1599">
        <v>1000</v>
      </c>
      <c r="C12" s="1763">
        <f>'Expenditures 15-22'!K33</f>
        <v>2527637</v>
      </c>
      <c r="D12" s="520" t="s">
        <v>1231</v>
      </c>
      <c r="E12" s="468" t="s">
        <v>1231</v>
      </c>
      <c r="F12" s="468" t="s">
        <v>1231</v>
      </c>
      <c r="G12" s="1763">
        <f>'Expenditures 15-22'!K229</f>
        <v>47334</v>
      </c>
      <c r="H12" s="521"/>
      <c r="I12" s="468" t="s">
        <v>1231</v>
      </c>
      <c r="J12" s="468" t="s">
        <v>1231</v>
      </c>
      <c r="K12" s="521" t="s">
        <v>1231</v>
      </c>
      <c r="L12" s="347"/>
    </row>
    <row r="13" spans="1:13" ht="15.75" customHeight="1" x14ac:dyDescent="0.2">
      <c r="A13" s="1597" t="s">
        <v>477</v>
      </c>
      <c r="B13" s="1599">
        <v>2000</v>
      </c>
      <c r="C13" s="1764">
        <f>'Expenditures 15-22'!K74</f>
        <v>851891</v>
      </c>
      <c r="D13" s="1764">
        <f>'Expenditures 15-22'!K129</f>
        <v>429097</v>
      </c>
      <c r="E13" s="469" t="s">
        <v>1231</v>
      </c>
      <c r="F13" s="1764">
        <f>'Expenditures 15-22'!K184</f>
        <v>301586</v>
      </c>
      <c r="G13" s="1764">
        <f>'Expenditures 15-22'!K279</f>
        <v>80044</v>
      </c>
      <c r="H13" s="1764">
        <f>'Expenditures 15-22'!K303</f>
        <v>166110</v>
      </c>
      <c r="I13" s="468" t="s">
        <v>1231</v>
      </c>
      <c r="J13" s="1764">
        <f>'Expenditures 15-22'!K330</f>
        <v>55761</v>
      </c>
      <c r="K13" s="1768">
        <f>'Expenditures 15-22'!K352</f>
        <v>17417</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92896</v>
      </c>
      <c r="D15" s="1764">
        <f>'Expenditures 15-22'!K139</f>
        <v>9699</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3472424</v>
      </c>
      <c r="D17" s="1709">
        <f t="shared" si="2"/>
        <v>438796</v>
      </c>
      <c r="E17" s="1709">
        <f t="shared" si="2"/>
        <v>0</v>
      </c>
      <c r="F17" s="1709">
        <f t="shared" si="2"/>
        <v>301586</v>
      </c>
      <c r="G17" s="1709">
        <f t="shared" si="2"/>
        <v>127378</v>
      </c>
      <c r="H17" s="1709">
        <f t="shared" si="2"/>
        <v>166110</v>
      </c>
      <c r="I17" s="468"/>
      <c r="J17" s="1709">
        <f>SUM(J12:J16)</f>
        <v>55761</v>
      </c>
      <c r="K17" s="1709">
        <f>SUM(K12:K16)</f>
        <v>17417</v>
      </c>
      <c r="L17" s="347"/>
    </row>
    <row r="18" spans="1:12" ht="15" customHeight="1" thickTop="1" x14ac:dyDescent="0.2">
      <c r="A18" s="1765" t="s">
        <v>1753</v>
      </c>
      <c r="B18" s="1766">
        <v>4180</v>
      </c>
      <c r="C18" s="1763">
        <f t="shared" ref="C18:H18" si="3">C9</f>
        <v>254430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3726854</v>
      </c>
      <c r="D19" s="1709">
        <f t="shared" si="4"/>
        <v>438796</v>
      </c>
      <c r="E19" s="1709">
        <f t="shared" si="4"/>
        <v>0</v>
      </c>
      <c r="F19" s="1709">
        <f t="shared" si="4"/>
        <v>301586</v>
      </c>
      <c r="G19" s="1709">
        <f t="shared" si="4"/>
        <v>127378</v>
      </c>
      <c r="H19" s="1709">
        <f t="shared" si="4"/>
        <v>166110</v>
      </c>
      <c r="I19" s="468"/>
      <c r="J19" s="1709">
        <f>SUM(J17:J18)</f>
        <v>55761</v>
      </c>
      <c r="K19" s="1709">
        <f>SUM(K17:K18)</f>
        <v>17417</v>
      </c>
      <c r="L19" s="347"/>
    </row>
    <row r="20" spans="1:12" ht="16.5" thickTop="1" thickBot="1" x14ac:dyDescent="0.25">
      <c r="A20" s="2150" t="s">
        <v>1754</v>
      </c>
      <c r="B20" s="2151"/>
      <c r="C20" s="1767">
        <f>C8-C17</f>
        <v>301883</v>
      </c>
      <c r="D20" s="1767">
        <f t="shared" ref="D20:K20" si="5">D8-D17</f>
        <v>17399</v>
      </c>
      <c r="E20" s="1767">
        <f t="shared" si="5"/>
        <v>0</v>
      </c>
      <c r="F20" s="1767">
        <f t="shared" si="5"/>
        <v>131898</v>
      </c>
      <c r="G20" s="1767">
        <f t="shared" si="5"/>
        <v>20661</v>
      </c>
      <c r="H20" s="1767">
        <f t="shared" si="5"/>
        <v>-23447</v>
      </c>
      <c r="I20" s="1767">
        <f t="shared" si="5"/>
        <v>5058</v>
      </c>
      <c r="J20" s="1767">
        <f t="shared" si="5"/>
        <v>33797</v>
      </c>
      <c r="K20" s="1767">
        <f t="shared" si="5"/>
        <v>-11528</v>
      </c>
      <c r="L20" s="347"/>
    </row>
    <row r="21" spans="1:12" ht="16.7" customHeight="1" thickTop="1" x14ac:dyDescent="0.2">
      <c r="A21" s="2162" t="s">
        <v>616</v>
      </c>
      <c r="B21" s="2163"/>
      <c r="C21" s="1591"/>
      <c r="D21" s="1592"/>
      <c r="E21" s="1592"/>
      <c r="F21" s="1592"/>
      <c r="G21" s="1592"/>
      <c r="H21" s="1592"/>
      <c r="I21" s="1592"/>
      <c r="J21" s="1592"/>
      <c r="K21" s="1593"/>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v>3000</v>
      </c>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4">
        <f>SUM(C24:C43)</f>
        <v>0</v>
      </c>
      <c r="D44" s="1724">
        <f t="shared" ref="D44:K44" si="6">SUM(D24:D43)</f>
        <v>0</v>
      </c>
      <c r="E44" s="1724">
        <f t="shared" si="6"/>
        <v>0</v>
      </c>
      <c r="F44" s="1724">
        <f t="shared" si="6"/>
        <v>3000</v>
      </c>
      <c r="G44" s="1724">
        <f t="shared" si="6"/>
        <v>0</v>
      </c>
      <c r="H44" s="1724">
        <f t="shared" si="6"/>
        <v>0</v>
      </c>
      <c r="I44" s="1724">
        <f t="shared" si="6"/>
        <v>0</v>
      </c>
      <c r="J44" s="1724">
        <f t="shared" si="6"/>
        <v>0</v>
      </c>
      <c r="K44" s="1724">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0" t="s">
        <v>460</v>
      </c>
      <c r="B76" s="2141"/>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2" t="s">
        <v>1239</v>
      </c>
      <c r="B77" s="2143"/>
      <c r="C77" s="1724">
        <f t="shared" ref="C77:K77" si="8">C44-C76</f>
        <v>0</v>
      </c>
      <c r="D77" s="1724">
        <f t="shared" si="8"/>
        <v>0</v>
      </c>
      <c r="E77" s="1724">
        <f t="shared" si="8"/>
        <v>0</v>
      </c>
      <c r="F77" s="1724">
        <f t="shared" si="8"/>
        <v>3000</v>
      </c>
      <c r="G77" s="1724">
        <f t="shared" si="8"/>
        <v>0</v>
      </c>
      <c r="H77" s="1724">
        <f t="shared" si="8"/>
        <v>0</v>
      </c>
      <c r="I77" s="1724">
        <f t="shared" si="8"/>
        <v>0</v>
      </c>
      <c r="J77" s="1724">
        <f t="shared" si="8"/>
        <v>0</v>
      </c>
      <c r="K77" s="1724">
        <f t="shared" si="8"/>
        <v>0</v>
      </c>
      <c r="L77" s="347"/>
    </row>
    <row r="78" spans="1:12" ht="21.75" customHeight="1" thickTop="1" thickBot="1" x14ac:dyDescent="0.25">
      <c r="A78" s="2146" t="s">
        <v>618</v>
      </c>
      <c r="B78" s="2147"/>
      <c r="C78" s="1723">
        <f t="shared" ref="C78:K78" si="9">C20+C77</f>
        <v>301883</v>
      </c>
      <c r="D78" s="1723">
        <f t="shared" si="9"/>
        <v>17399</v>
      </c>
      <c r="E78" s="1723">
        <f t="shared" si="9"/>
        <v>0</v>
      </c>
      <c r="F78" s="1723">
        <f t="shared" si="9"/>
        <v>134898</v>
      </c>
      <c r="G78" s="1723">
        <f t="shared" si="9"/>
        <v>20661</v>
      </c>
      <c r="H78" s="1723">
        <f t="shared" si="9"/>
        <v>-23447</v>
      </c>
      <c r="I78" s="1723">
        <f t="shared" si="9"/>
        <v>5058</v>
      </c>
      <c r="J78" s="1723">
        <f t="shared" si="9"/>
        <v>33797</v>
      </c>
      <c r="K78" s="1723">
        <f t="shared" si="9"/>
        <v>-11528</v>
      </c>
      <c r="L78" s="533"/>
    </row>
    <row r="79" spans="1:12" ht="13.5" thickTop="1" x14ac:dyDescent="0.2">
      <c r="A79" s="1515" t="s">
        <v>2073</v>
      </c>
      <c r="B79" s="534"/>
      <c r="C79" s="478">
        <v>6550054</v>
      </c>
      <c r="D79" s="535">
        <v>1832985</v>
      </c>
      <c r="E79" s="535"/>
      <c r="F79" s="535">
        <v>1470532</v>
      </c>
      <c r="G79" s="535">
        <v>354116</v>
      </c>
      <c r="H79" s="535">
        <v>321913</v>
      </c>
      <c r="I79" s="535">
        <v>412802</v>
      </c>
      <c r="J79" s="535">
        <v>206618</v>
      </c>
      <c r="K79" s="535">
        <v>62476</v>
      </c>
      <c r="L79" s="347"/>
    </row>
    <row r="80" spans="1:12" x14ac:dyDescent="0.2">
      <c r="A80" s="2152" t="s">
        <v>1898</v>
      </c>
      <c r="B80" s="2153"/>
      <c r="C80" s="467"/>
      <c r="D80" s="467"/>
      <c r="E80" s="467"/>
      <c r="F80" s="467"/>
      <c r="G80" s="467"/>
      <c r="H80" s="467"/>
      <c r="I80" s="467"/>
      <c r="J80" s="467"/>
      <c r="K80" s="467"/>
      <c r="L80" s="347"/>
    </row>
    <row r="81" spans="1:12" ht="13.5" thickBot="1" x14ac:dyDescent="0.25">
      <c r="A81" s="2144" t="s">
        <v>2074</v>
      </c>
      <c r="B81" s="2145"/>
      <c r="C81" s="1709">
        <f>(SUM(C78:C80))</f>
        <v>6851937</v>
      </c>
      <c r="D81" s="1709">
        <f>SUM(D78:D80)</f>
        <v>1850384</v>
      </c>
      <c r="E81" s="1709">
        <f t="shared" ref="E81:K81" si="10">SUM(E78:E80)</f>
        <v>0</v>
      </c>
      <c r="F81" s="1709">
        <f t="shared" si="10"/>
        <v>1605430</v>
      </c>
      <c r="G81" s="1709">
        <f t="shared" si="10"/>
        <v>374777</v>
      </c>
      <c r="H81" s="1709">
        <f t="shared" si="10"/>
        <v>298466</v>
      </c>
      <c r="I81" s="1709">
        <f t="shared" si="10"/>
        <v>417860</v>
      </c>
      <c r="J81" s="1709">
        <f t="shared" si="10"/>
        <v>240415</v>
      </c>
      <c r="K81" s="1709">
        <f t="shared" si="10"/>
        <v>50948</v>
      </c>
      <c r="L81" s="347"/>
    </row>
    <row r="82" spans="1:12" ht="0.75" customHeight="1" thickTop="1" thickBot="1" x14ac:dyDescent="0.25">
      <c r="A82" s="536" t="s">
        <v>361</v>
      </c>
      <c r="B82" s="537"/>
      <c r="C82" s="538">
        <f>(C81-C79)</f>
        <v>301883</v>
      </c>
      <c r="D82" s="538">
        <f t="shared" ref="D82:K82" si="11">(D81-D79)</f>
        <v>17399</v>
      </c>
      <c r="E82" s="538">
        <f t="shared" si="11"/>
        <v>0</v>
      </c>
      <c r="F82" s="538">
        <f t="shared" si="11"/>
        <v>134898</v>
      </c>
      <c r="G82" s="538">
        <f t="shared" si="11"/>
        <v>20661</v>
      </c>
      <c r="H82" s="538">
        <f t="shared" si="11"/>
        <v>-23447</v>
      </c>
      <c r="I82" s="538">
        <f t="shared" si="11"/>
        <v>5058</v>
      </c>
      <c r="J82" s="538">
        <f t="shared" si="11"/>
        <v>33797</v>
      </c>
      <c r="K82" s="538">
        <f t="shared" si="11"/>
        <v>-11528</v>
      </c>
    </row>
    <row r="83" spans="1:12" ht="14.25" hidden="1" thickTop="1" thickBot="1" x14ac:dyDescent="0.25">
      <c r="A83" s="539" t="s">
        <v>362</v>
      </c>
      <c r="B83" s="464"/>
      <c r="C83" s="540">
        <f>C82/C81</f>
        <v>4.4058052489390959E-2</v>
      </c>
      <c r="D83" s="540">
        <f t="shared" ref="D83:K83" si="12">D82/D81</f>
        <v>9.4029131250594478E-3</v>
      </c>
      <c r="E83" s="540" t="e">
        <f t="shared" si="12"/>
        <v>#DIV/0!</v>
      </c>
      <c r="F83" s="540">
        <f t="shared" si="12"/>
        <v>8.4026086469045677E-2</v>
      </c>
      <c r="G83" s="540">
        <f t="shared" si="12"/>
        <v>5.512878324977253E-2</v>
      </c>
      <c r="H83" s="540">
        <f t="shared" si="12"/>
        <v>-7.8558361756447967E-2</v>
      </c>
      <c r="I83" s="540">
        <f t="shared" si="12"/>
        <v>1.2104532618580386E-2</v>
      </c>
      <c r="J83" s="540">
        <f t="shared" si="12"/>
        <v>0.14057775097227709</v>
      </c>
      <c r="K83" s="540">
        <f t="shared" si="12"/>
        <v>-0.22626992227369083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sheetPr>
  <dimension ref="A1:L286"/>
  <sheetViews>
    <sheetView showGridLines="0" defaultGridColor="0" colorId="8" zoomScaleNormal="100" zoomScaleSheetLayoutView="75" workbookViewId="0">
      <pane ySplit="2" topLeftCell="A81" activePane="bottomLeft" state="frozen"/>
      <selection activeCell="A47" sqref="A47"/>
      <selection pane="bottomLeft" activeCell="D95" sqref="D9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1905</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3033437</v>
      </c>
      <c r="D5" s="481">
        <v>443533</v>
      </c>
      <c r="E5" s="466"/>
      <c r="F5" s="548">
        <v>324471</v>
      </c>
      <c r="G5" s="466">
        <v>65127</v>
      </c>
      <c r="H5" s="466"/>
      <c r="I5" s="466">
        <v>4064</v>
      </c>
      <c r="J5" s="467">
        <v>88256</v>
      </c>
      <c r="K5" s="466">
        <v>5041</v>
      </c>
    </row>
    <row r="6" spans="1:12" ht="15" x14ac:dyDescent="0.2">
      <c r="A6" s="463" t="s">
        <v>1761</v>
      </c>
      <c r="B6" s="470">
        <v>1130</v>
      </c>
      <c r="C6" s="466">
        <v>38790</v>
      </c>
      <c r="D6" s="466"/>
      <c r="E6" s="475"/>
      <c r="F6" s="475"/>
      <c r="G6" s="468"/>
      <c r="H6" s="468"/>
      <c r="I6" s="468"/>
      <c r="J6" s="468"/>
      <c r="K6" s="468"/>
    </row>
    <row r="7" spans="1:12" x14ac:dyDescent="0.2">
      <c r="A7" s="463" t="s">
        <v>112</v>
      </c>
      <c r="B7" s="549">
        <v>1140</v>
      </c>
      <c r="C7" s="466">
        <v>52677</v>
      </c>
      <c r="D7" s="466"/>
      <c r="E7" s="468"/>
      <c r="F7" s="467"/>
      <c r="G7" s="467"/>
      <c r="H7" s="467"/>
      <c r="I7" s="468"/>
      <c r="J7" s="468"/>
      <c r="K7" s="468"/>
    </row>
    <row r="8" spans="1:12" x14ac:dyDescent="0.2">
      <c r="A8" s="463" t="s">
        <v>433</v>
      </c>
      <c r="B8" s="470">
        <v>1150</v>
      </c>
      <c r="C8" s="475"/>
      <c r="D8" s="475"/>
      <c r="E8" s="477"/>
      <c r="F8" s="477"/>
      <c r="G8" s="481">
        <v>76240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3124904</v>
      </c>
      <c r="D12" s="1728">
        <f t="shared" si="0"/>
        <v>443533</v>
      </c>
      <c r="E12" s="1728">
        <f t="shared" si="0"/>
        <v>0</v>
      </c>
      <c r="F12" s="1728">
        <f t="shared" si="0"/>
        <v>324471</v>
      </c>
      <c r="G12" s="1728">
        <f t="shared" si="0"/>
        <v>141367</v>
      </c>
      <c r="H12" s="1728">
        <f t="shared" si="0"/>
        <v>0</v>
      </c>
      <c r="I12" s="1728">
        <f t="shared" si="0"/>
        <v>4064</v>
      </c>
      <c r="J12" s="1728">
        <f t="shared" si="0"/>
        <v>88256</v>
      </c>
      <c r="K12" s="1709">
        <f t="shared" si="0"/>
        <v>5041</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41388</v>
      </c>
      <c r="D16" s="466"/>
      <c r="E16" s="466"/>
      <c r="F16" s="466"/>
      <c r="G16" s="466">
        <v>3983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41388</v>
      </c>
      <c r="D18" s="1731">
        <f t="shared" ref="D18:K18" si="1">SUM(D14:D17)</f>
        <v>0</v>
      </c>
      <c r="E18" s="1731">
        <f t="shared" si="1"/>
        <v>0</v>
      </c>
      <c r="F18" s="1731">
        <f t="shared" si="1"/>
        <v>0</v>
      </c>
      <c r="G18" s="1731">
        <f t="shared" si="1"/>
        <v>3983</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1200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1200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67008</v>
      </c>
      <c r="D65" s="466">
        <v>12512</v>
      </c>
      <c r="E65" s="466"/>
      <c r="F65" s="467">
        <v>4987</v>
      </c>
      <c r="G65" s="466">
        <v>2689</v>
      </c>
      <c r="H65" s="466">
        <v>17</v>
      </c>
      <c r="I65" s="466">
        <v>994</v>
      </c>
      <c r="J65" s="467">
        <v>1302</v>
      </c>
      <c r="K65" s="466">
        <v>848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67008</v>
      </c>
      <c r="D67" s="1709">
        <f t="shared" ref="D67:K67" si="2">SUM(D65:D66)</f>
        <v>12512</v>
      </c>
      <c r="E67" s="1709">
        <f t="shared" si="2"/>
        <v>0</v>
      </c>
      <c r="F67" s="1709">
        <f t="shared" si="2"/>
        <v>4987</v>
      </c>
      <c r="G67" s="1709">
        <f t="shared" si="2"/>
        <v>2689</v>
      </c>
      <c r="H67" s="1709">
        <f t="shared" si="2"/>
        <v>17</v>
      </c>
      <c r="I67" s="1709">
        <f t="shared" si="2"/>
        <v>994</v>
      </c>
      <c r="J67" s="1709">
        <f t="shared" si="2"/>
        <v>1302</v>
      </c>
      <c r="K67" s="1709">
        <f t="shared" si="2"/>
        <v>848</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41900</v>
      </c>
      <c r="D69" s="468"/>
      <c r="E69" s="468"/>
      <c r="F69" s="468"/>
      <c r="G69" s="468"/>
      <c r="H69" s="468"/>
      <c r="I69" s="468"/>
      <c r="J69" s="468"/>
      <c r="K69" s="468"/>
    </row>
    <row r="70" spans="1:11" ht="12.75" customHeight="1" x14ac:dyDescent="0.2">
      <c r="A70" s="463" t="s">
        <v>1054</v>
      </c>
      <c r="B70" s="470">
        <v>1612</v>
      </c>
      <c r="C70" s="551">
        <v>7710</v>
      </c>
      <c r="D70" s="468"/>
      <c r="E70" s="468"/>
      <c r="F70" s="468"/>
      <c r="G70" s="468"/>
      <c r="H70" s="468"/>
      <c r="I70" s="468"/>
      <c r="J70" s="468"/>
      <c r="K70" s="468"/>
    </row>
    <row r="71" spans="1:11" ht="12.75" customHeight="1" x14ac:dyDescent="0.2">
      <c r="A71" s="463" t="s">
        <v>291</v>
      </c>
      <c r="B71" s="470">
        <v>1613</v>
      </c>
      <c r="C71" s="551">
        <v>6064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4311</v>
      </c>
      <c r="D73" s="468"/>
      <c r="E73" s="468"/>
      <c r="F73" s="468"/>
      <c r="G73" s="468"/>
      <c r="H73" s="468"/>
      <c r="I73" s="468"/>
      <c r="J73" s="468"/>
      <c r="K73" s="468"/>
    </row>
    <row r="74" spans="1:11" ht="12.75" customHeight="1" x14ac:dyDescent="0.2">
      <c r="A74" s="463" t="s">
        <v>25</v>
      </c>
      <c r="B74" s="470">
        <v>1690</v>
      </c>
      <c r="C74" s="551">
        <v>81</v>
      </c>
      <c r="D74" s="468"/>
      <c r="E74" s="468"/>
      <c r="F74" s="468"/>
      <c r="G74" s="468"/>
      <c r="H74" s="468"/>
      <c r="I74" s="468"/>
      <c r="J74" s="468"/>
      <c r="K74" s="468"/>
    </row>
    <row r="75" spans="1:11" ht="12.75" customHeight="1" thickBot="1" x14ac:dyDescent="0.25">
      <c r="A75" s="1729" t="s">
        <v>569</v>
      </c>
      <c r="B75" s="1730"/>
      <c r="C75" s="1709">
        <f>SUM(C69:C74)</f>
        <v>60066</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13897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13897</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9903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100</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10003</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150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v>2429</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650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142646</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309</v>
      </c>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29" t="s">
        <v>508</v>
      </c>
      <c r="B108" s="1733"/>
      <c r="C108" s="1728">
        <f>SUM(C95:C107)</f>
        <v>959</v>
      </c>
      <c r="D108" s="1728">
        <f t="shared" ref="D108:K108" si="3">SUM(D95:D107)</f>
        <v>150</v>
      </c>
      <c r="E108" s="1728">
        <f t="shared" si="3"/>
        <v>0</v>
      </c>
      <c r="F108" s="1728">
        <f t="shared" si="3"/>
        <v>2429</v>
      </c>
      <c r="G108" s="1728">
        <f t="shared" si="3"/>
        <v>0</v>
      </c>
      <c r="H108" s="1728">
        <f t="shared" si="3"/>
        <v>142646</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3319425</v>
      </c>
      <c r="D109" s="1736">
        <f t="shared" si="4"/>
        <v>456195</v>
      </c>
      <c r="E109" s="1736">
        <f t="shared" si="4"/>
        <v>0</v>
      </c>
      <c r="F109" s="1736">
        <f t="shared" si="4"/>
        <v>331887</v>
      </c>
      <c r="G109" s="1736">
        <f t="shared" si="4"/>
        <v>148039</v>
      </c>
      <c r="H109" s="1736">
        <f t="shared" si="4"/>
        <v>142663</v>
      </c>
      <c r="I109" s="1736">
        <f t="shared" si="4"/>
        <v>5058</v>
      </c>
      <c r="J109" s="1736">
        <f t="shared" si="4"/>
        <v>89558</v>
      </c>
      <c r="K109" s="1723">
        <f t="shared" si="4"/>
        <v>5889</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141671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141671</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19598</v>
      </c>
      <c r="D124" s="561"/>
      <c r="E124" s="468"/>
      <c r="F124" s="548"/>
      <c r="G124" s="468"/>
      <c r="H124" s="468"/>
      <c r="I124" s="468"/>
      <c r="J124" s="468"/>
      <c r="K124" s="468"/>
    </row>
    <row r="125" spans="1:11" ht="12.75" customHeight="1" x14ac:dyDescent="0.2">
      <c r="A125" s="463" t="s">
        <v>1521</v>
      </c>
      <c r="B125" s="562">
        <v>3105</v>
      </c>
      <c r="C125" s="466">
        <v>13251</v>
      </c>
      <c r="D125" s="561"/>
      <c r="E125" s="468"/>
      <c r="F125" s="466"/>
      <c r="G125" s="468"/>
      <c r="H125" s="468"/>
      <c r="I125" s="468"/>
      <c r="J125" s="468"/>
      <c r="K125" s="468"/>
    </row>
    <row r="126" spans="1:11" ht="12.75" customHeight="1" x14ac:dyDescent="0.2">
      <c r="A126" s="463" t="s">
        <v>922</v>
      </c>
      <c r="B126" s="562">
        <v>3110</v>
      </c>
      <c r="C126" s="551">
        <v>22206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48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55103</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2261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12044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14305</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396</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2498</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89643</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89643</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v>1500</v>
      </c>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79597</v>
      </c>
      <c r="D158" s="578"/>
      <c r="E158" s="561"/>
      <c r="F158" s="576">
        <v>11954</v>
      </c>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68" t="s">
        <v>418</v>
      </c>
      <c r="B172" s="2169"/>
      <c r="C172" s="1743">
        <f t="shared" ref="C172:K172" si="6">SUM(C131,C140,C144,C145:C149,C154,C155:C170,C171)</f>
        <v>153399</v>
      </c>
      <c r="D172" s="1743">
        <f t="shared" si="6"/>
        <v>0</v>
      </c>
      <c r="E172" s="1743">
        <f t="shared" si="6"/>
        <v>0</v>
      </c>
      <c r="F172" s="1743">
        <f t="shared" si="6"/>
        <v>101597</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295070</v>
      </c>
      <c r="D173" s="1736">
        <f>SUM(D121,D172)</f>
        <v>0</v>
      </c>
      <c r="E173" s="1736">
        <f>SUM(E121,E172)</f>
        <v>0</v>
      </c>
      <c r="F173" s="1736">
        <f t="shared" ref="F173:K173" si="7">SUM(F121,F172)</f>
        <v>101597</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25700</v>
      </c>
      <c r="D183" s="466"/>
      <c r="E183" s="468"/>
      <c r="F183" s="466"/>
      <c r="G183" s="466"/>
      <c r="H183" s="466"/>
      <c r="I183" s="468"/>
      <c r="J183" s="468"/>
      <c r="K183" s="466"/>
    </row>
    <row r="184" spans="1:11" ht="13.5" thickBot="1" x14ac:dyDescent="0.25">
      <c r="A184" s="2176" t="s">
        <v>818</v>
      </c>
      <c r="B184" s="2177"/>
      <c r="C184" s="1728">
        <f>SUM(C180:C183)</f>
        <v>25700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2" t="s">
        <v>1906</v>
      </c>
      <c r="B185" s="2173"/>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33584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7110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40694</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43019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43019</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2352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32408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34760</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6305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7082</v>
      </c>
      <c r="D270" s="576"/>
      <c r="E270" s="468"/>
      <c r="F270" s="576"/>
      <c r="G270" s="576"/>
      <c r="H270" s="468"/>
      <c r="I270" s="468"/>
      <c r="J270" s="468"/>
      <c r="K270" s="468"/>
    </row>
    <row r="271" spans="1:11" ht="12.75" customHeight="1" thickTop="1" thickBot="1" x14ac:dyDescent="0.25">
      <c r="A271" s="463" t="s">
        <v>395</v>
      </c>
      <c r="B271" s="470">
        <v>4992</v>
      </c>
      <c r="C271" s="575">
        <v>2252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134112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159812</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3774307</v>
      </c>
      <c r="D275" s="1736">
        <f t="shared" si="12"/>
        <v>456195</v>
      </c>
      <c r="E275" s="1736">
        <f t="shared" si="12"/>
        <v>0</v>
      </c>
      <c r="F275" s="1736">
        <f t="shared" si="12"/>
        <v>433484</v>
      </c>
      <c r="G275" s="1736">
        <f t="shared" si="12"/>
        <v>148039</v>
      </c>
      <c r="H275" s="1736">
        <f t="shared" si="12"/>
        <v>142663</v>
      </c>
      <c r="I275" s="1736">
        <f t="shared" si="12"/>
        <v>5058</v>
      </c>
      <c r="J275" s="1736">
        <f t="shared" si="12"/>
        <v>89558</v>
      </c>
      <c r="K275" s="1723">
        <f t="shared" si="12"/>
        <v>5889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9"/>
  </sheetPr>
  <dimension ref="A1:N368"/>
  <sheetViews>
    <sheetView showGridLines="0" defaultGridColor="0" colorId="8" zoomScaleNormal="100" workbookViewId="0">
      <pane ySplit="2" topLeftCell="A3" activePane="bottomLeft" state="frozen"/>
      <selection activeCell="A47" sqref="A47"/>
      <selection pane="bottomLeft" activeCell="L371" sqref="L371:L37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1263178</v>
      </c>
      <c r="D5" s="466">
        <v>300688</v>
      </c>
      <c r="E5" s="466">
        <v>96283</v>
      </c>
      <c r="F5" s="466">
        <v>41842</v>
      </c>
      <c r="G5" s="466">
        <v>90699</v>
      </c>
      <c r="H5" s="466"/>
      <c r="I5" s="467"/>
      <c r="J5" s="467"/>
      <c r="K5" s="1692">
        <f>SUM(C5:J5)</f>
        <v>1792690</v>
      </c>
      <c r="L5" s="466">
        <v>2014700</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49995</v>
      </c>
      <c r="D7" s="467">
        <v>4228</v>
      </c>
      <c r="E7" s="467">
        <v>154</v>
      </c>
      <c r="F7" s="467">
        <v>891</v>
      </c>
      <c r="G7" s="467"/>
      <c r="H7" s="467"/>
      <c r="I7" s="467"/>
      <c r="J7" s="467"/>
      <c r="K7" s="1692">
        <f t="shared" ref="K7:K32" si="0">SUM(C7:J7)</f>
        <v>55268</v>
      </c>
      <c r="L7" s="466">
        <v>85000</v>
      </c>
    </row>
    <row r="8" spans="1:14" x14ac:dyDescent="0.2">
      <c r="A8" s="1525" t="s">
        <v>166</v>
      </c>
      <c r="B8" s="615">
        <v>1200</v>
      </c>
      <c r="C8" s="466">
        <v>201388</v>
      </c>
      <c r="D8" s="466">
        <v>63535</v>
      </c>
      <c r="E8" s="466">
        <v>694</v>
      </c>
      <c r="F8" s="466">
        <v>1663</v>
      </c>
      <c r="G8" s="466"/>
      <c r="H8" s="466"/>
      <c r="I8" s="467"/>
      <c r="J8" s="467"/>
      <c r="K8" s="1692">
        <f t="shared" si="0"/>
        <v>267280</v>
      </c>
      <c r="L8" s="466">
        <v>407600</v>
      </c>
    </row>
    <row r="9" spans="1:14" x14ac:dyDescent="0.2">
      <c r="A9" s="1525" t="s">
        <v>745</v>
      </c>
      <c r="B9" s="615" t="s">
        <v>1025</v>
      </c>
      <c r="C9" s="467">
        <v>55591</v>
      </c>
      <c r="D9" s="467">
        <v>5340</v>
      </c>
      <c r="E9" s="467">
        <v>9452</v>
      </c>
      <c r="F9" s="467"/>
      <c r="G9" s="467"/>
      <c r="H9" s="467"/>
      <c r="I9" s="467"/>
      <c r="J9" s="467"/>
      <c r="K9" s="1692">
        <f t="shared" si="0"/>
        <v>70383</v>
      </c>
      <c r="L9" s="466">
        <v>66800</v>
      </c>
    </row>
    <row r="10" spans="1:14" x14ac:dyDescent="0.2">
      <c r="A10" s="1525" t="s">
        <v>746</v>
      </c>
      <c r="B10" s="615">
        <v>1250</v>
      </c>
      <c r="C10" s="466">
        <v>30328</v>
      </c>
      <c r="D10" s="466">
        <v>10932</v>
      </c>
      <c r="E10" s="466"/>
      <c r="F10" s="466">
        <v>2617</v>
      </c>
      <c r="G10" s="466"/>
      <c r="H10" s="466"/>
      <c r="I10" s="467"/>
      <c r="J10" s="467"/>
      <c r="K10" s="1692">
        <f t="shared" si="0"/>
        <v>43877</v>
      </c>
      <c r="L10" s="466">
        <v>59605</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121836</v>
      </c>
      <c r="D13" s="466">
        <v>25656</v>
      </c>
      <c r="E13" s="466">
        <v>807</v>
      </c>
      <c r="F13" s="466">
        <v>7594</v>
      </c>
      <c r="G13" s="466"/>
      <c r="H13" s="466"/>
      <c r="I13" s="467"/>
      <c r="J13" s="467"/>
      <c r="K13" s="1692">
        <f t="shared" si="0"/>
        <v>155893</v>
      </c>
      <c r="L13" s="466">
        <v>160100</v>
      </c>
    </row>
    <row r="14" spans="1:14" x14ac:dyDescent="0.2">
      <c r="A14" s="1525" t="s">
        <v>1020</v>
      </c>
      <c r="B14" s="615">
        <v>1500</v>
      </c>
      <c r="C14" s="466">
        <v>84484</v>
      </c>
      <c r="D14" s="466">
        <v>6241</v>
      </c>
      <c r="E14" s="466">
        <v>13693</v>
      </c>
      <c r="F14" s="466">
        <v>12448</v>
      </c>
      <c r="G14" s="466">
        <v>7594</v>
      </c>
      <c r="H14" s="466"/>
      <c r="I14" s="467"/>
      <c r="J14" s="467"/>
      <c r="K14" s="1692">
        <f t="shared" si="0"/>
        <v>124460</v>
      </c>
      <c r="L14" s="466">
        <v>142150</v>
      </c>
    </row>
    <row r="15" spans="1:14" x14ac:dyDescent="0.2">
      <c r="A15" s="1525" t="s">
        <v>1021</v>
      </c>
      <c r="B15" s="615">
        <v>1600</v>
      </c>
      <c r="C15" s="466">
        <v>3593</v>
      </c>
      <c r="D15" s="466">
        <v>149</v>
      </c>
      <c r="E15" s="466"/>
      <c r="F15" s="466"/>
      <c r="G15" s="466"/>
      <c r="H15" s="466"/>
      <c r="I15" s="467"/>
      <c r="J15" s="467"/>
      <c r="K15" s="1692">
        <f t="shared" si="0"/>
        <v>3742</v>
      </c>
      <c r="L15" s="466">
        <v>5800</v>
      </c>
    </row>
    <row r="16" spans="1:14" x14ac:dyDescent="0.2">
      <c r="A16" s="1525" t="s">
        <v>1044</v>
      </c>
      <c r="B16" s="615" t="s">
        <v>444</v>
      </c>
      <c r="C16" s="466"/>
      <c r="D16" s="466"/>
      <c r="E16" s="466">
        <v>898</v>
      </c>
      <c r="F16" s="466">
        <v>80</v>
      </c>
      <c r="G16" s="466"/>
      <c r="H16" s="466"/>
      <c r="I16" s="467"/>
      <c r="J16" s="467"/>
      <c r="K16" s="1692">
        <f t="shared" si="0"/>
        <v>978</v>
      </c>
      <c r="L16" s="466">
        <v>1000</v>
      </c>
    </row>
    <row r="17" spans="1:12" x14ac:dyDescent="0.2">
      <c r="A17" s="1525" t="s">
        <v>748</v>
      </c>
      <c r="B17" s="615" t="s">
        <v>164</v>
      </c>
      <c r="C17" s="467">
        <v>10501</v>
      </c>
      <c r="D17" s="467">
        <v>996</v>
      </c>
      <c r="E17" s="467"/>
      <c r="F17" s="467">
        <v>992</v>
      </c>
      <c r="G17" s="467"/>
      <c r="H17" s="467"/>
      <c r="I17" s="467"/>
      <c r="J17" s="467"/>
      <c r="K17" s="1692">
        <f t="shared" si="0"/>
        <v>12489</v>
      </c>
      <c r="L17" s="466">
        <v>20600</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v>577</v>
      </c>
      <c r="G19" s="466"/>
      <c r="H19" s="466"/>
      <c r="I19" s="467"/>
      <c r="J19" s="467"/>
      <c r="K19" s="1692">
        <f t="shared" si="0"/>
        <v>577</v>
      </c>
      <c r="L19" s="466">
        <v>500</v>
      </c>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v>75000</v>
      </c>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1820894</v>
      </c>
      <c r="D33" s="1691">
        <f t="shared" ref="D33:L33" si="1">SUM(D5:D32)</f>
        <v>417765</v>
      </c>
      <c r="E33" s="1691">
        <f t="shared" si="1"/>
        <v>121981</v>
      </c>
      <c r="F33" s="1691">
        <f t="shared" si="1"/>
        <v>68704</v>
      </c>
      <c r="G33" s="1691">
        <f t="shared" si="1"/>
        <v>98293</v>
      </c>
      <c r="H33" s="1691">
        <f t="shared" si="1"/>
        <v>0</v>
      </c>
      <c r="I33" s="1691">
        <f t="shared" si="1"/>
        <v>0</v>
      </c>
      <c r="J33" s="1691">
        <f t="shared" si="1"/>
        <v>0</v>
      </c>
      <c r="K33" s="1691">
        <f t="shared" si="1"/>
        <v>2527637</v>
      </c>
      <c r="L33" s="1691">
        <f t="shared" si="1"/>
        <v>3038855</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v>79550</v>
      </c>
    </row>
    <row r="37" spans="1:14" x14ac:dyDescent="0.2">
      <c r="A37" s="1525" t="s">
        <v>1151</v>
      </c>
      <c r="B37" s="615">
        <v>2120</v>
      </c>
      <c r="C37" s="466">
        <v>62524</v>
      </c>
      <c r="D37" s="466">
        <v>8658</v>
      </c>
      <c r="E37" s="466"/>
      <c r="F37" s="466">
        <v>160</v>
      </c>
      <c r="G37" s="466"/>
      <c r="H37" s="466"/>
      <c r="I37" s="467"/>
      <c r="J37" s="467"/>
      <c r="K37" s="1692">
        <f t="shared" si="2"/>
        <v>71342</v>
      </c>
      <c r="L37" s="466"/>
    </row>
    <row r="38" spans="1:14" x14ac:dyDescent="0.2">
      <c r="A38" s="1525" t="s">
        <v>207</v>
      </c>
      <c r="B38" s="615">
        <v>2130</v>
      </c>
      <c r="C38" s="466"/>
      <c r="D38" s="466"/>
      <c r="E38" s="466">
        <v>548</v>
      </c>
      <c r="F38" s="466">
        <v>102</v>
      </c>
      <c r="G38" s="466"/>
      <c r="H38" s="466"/>
      <c r="I38" s="467"/>
      <c r="J38" s="467"/>
      <c r="K38" s="1692">
        <f t="shared" si="2"/>
        <v>650</v>
      </c>
      <c r="L38" s="466">
        <v>800</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62730</v>
      </c>
      <c r="D40" s="466">
        <v>8566</v>
      </c>
      <c r="E40" s="466"/>
      <c r="F40" s="466">
        <v>274</v>
      </c>
      <c r="G40" s="466"/>
      <c r="H40" s="466"/>
      <c r="I40" s="467"/>
      <c r="J40" s="467"/>
      <c r="K40" s="1692">
        <f t="shared" si="2"/>
        <v>71570</v>
      </c>
      <c r="L40" s="466">
        <v>76900</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125254</v>
      </c>
      <c r="D42" s="1691">
        <f t="shared" ref="D42:L42" si="3">SUM(D36:D41)</f>
        <v>17224</v>
      </c>
      <c r="E42" s="1691">
        <f t="shared" si="3"/>
        <v>548</v>
      </c>
      <c r="F42" s="1691">
        <f t="shared" si="3"/>
        <v>536</v>
      </c>
      <c r="G42" s="1691">
        <f t="shared" si="3"/>
        <v>0</v>
      </c>
      <c r="H42" s="1691">
        <f t="shared" si="3"/>
        <v>0</v>
      </c>
      <c r="I42" s="1691">
        <f t="shared" si="3"/>
        <v>0</v>
      </c>
      <c r="J42" s="1691">
        <f t="shared" si="3"/>
        <v>0</v>
      </c>
      <c r="K42" s="1691">
        <f t="shared" si="3"/>
        <v>143562</v>
      </c>
      <c r="L42" s="1691">
        <f t="shared" si="3"/>
        <v>157250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15862</v>
      </c>
      <c r="F44" s="481">
        <v>437</v>
      </c>
      <c r="G44" s="481"/>
      <c r="H44" s="481"/>
      <c r="I44" s="467"/>
      <c r="J44" s="467"/>
      <c r="K44" s="1693">
        <f>SUM(C44:J44)</f>
        <v>16299</v>
      </c>
      <c r="L44" s="481">
        <v>5890</v>
      </c>
    </row>
    <row r="45" spans="1:14" x14ac:dyDescent="0.2">
      <c r="A45" s="1525" t="s">
        <v>869</v>
      </c>
      <c r="B45" s="615">
        <v>2220</v>
      </c>
      <c r="C45" s="466">
        <v>74289</v>
      </c>
      <c r="D45" s="466">
        <v>16292</v>
      </c>
      <c r="E45" s="466">
        <v>1946</v>
      </c>
      <c r="F45" s="466">
        <v>5347</v>
      </c>
      <c r="G45" s="466"/>
      <c r="H45" s="466"/>
      <c r="I45" s="467"/>
      <c r="J45" s="467"/>
      <c r="K45" s="1693">
        <f>SUM(C45:J45)</f>
        <v>97874</v>
      </c>
      <c r="L45" s="466">
        <v>100800</v>
      </c>
    </row>
    <row r="46" spans="1:14" x14ac:dyDescent="0.2">
      <c r="A46" s="1525" t="s">
        <v>870</v>
      </c>
      <c r="B46" s="615">
        <v>2230</v>
      </c>
      <c r="C46" s="466"/>
      <c r="D46" s="466"/>
      <c r="E46" s="466"/>
      <c r="F46" s="466">
        <v>3300</v>
      </c>
      <c r="G46" s="466"/>
      <c r="H46" s="466"/>
      <c r="I46" s="467"/>
      <c r="J46" s="467"/>
      <c r="K46" s="1693">
        <f>SUM(C46:J46)</f>
        <v>3300</v>
      </c>
      <c r="L46" s="466">
        <v>6000</v>
      </c>
    </row>
    <row r="47" spans="1:14" ht="12.75" customHeight="1" thickBot="1" x14ac:dyDescent="0.25">
      <c r="A47" s="1689" t="s">
        <v>582</v>
      </c>
      <c r="B47" s="1690" t="s">
        <v>32</v>
      </c>
      <c r="C47" s="1691">
        <f>SUM(C44:C46)</f>
        <v>74289</v>
      </c>
      <c r="D47" s="1691">
        <f t="shared" ref="D47:K47" si="4">SUM(D44:D46)</f>
        <v>16292</v>
      </c>
      <c r="E47" s="1691">
        <f t="shared" si="4"/>
        <v>17808</v>
      </c>
      <c r="F47" s="1691">
        <f t="shared" si="4"/>
        <v>9084</v>
      </c>
      <c r="G47" s="1691">
        <f t="shared" si="4"/>
        <v>0</v>
      </c>
      <c r="H47" s="1691">
        <f t="shared" si="4"/>
        <v>0</v>
      </c>
      <c r="I47" s="1691">
        <f t="shared" si="4"/>
        <v>0</v>
      </c>
      <c r="J47" s="1691">
        <f t="shared" si="4"/>
        <v>0</v>
      </c>
      <c r="K47" s="1691">
        <f t="shared" si="4"/>
        <v>117473</v>
      </c>
      <c r="L47" s="1691">
        <f>SUM(L44:L46)</f>
        <v>112690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900</v>
      </c>
      <c r="D49" s="481">
        <v>5061</v>
      </c>
      <c r="E49" s="481">
        <v>37564</v>
      </c>
      <c r="F49" s="481">
        <v>120</v>
      </c>
      <c r="G49" s="481"/>
      <c r="H49" s="481"/>
      <c r="I49" s="467"/>
      <c r="J49" s="467"/>
      <c r="K49" s="1693">
        <f>SUM(C49:J49)</f>
        <v>43645</v>
      </c>
      <c r="L49" s="481">
        <v>64500</v>
      </c>
    </row>
    <row r="50" spans="1:14" x14ac:dyDescent="0.2">
      <c r="A50" s="1525" t="s">
        <v>872</v>
      </c>
      <c r="B50" s="615">
        <v>2320</v>
      </c>
      <c r="C50" s="466">
        <v>93367</v>
      </c>
      <c r="D50" s="466">
        <v>18512</v>
      </c>
      <c r="E50" s="466">
        <v>7011</v>
      </c>
      <c r="F50" s="466">
        <v>1026</v>
      </c>
      <c r="G50" s="466"/>
      <c r="H50" s="466"/>
      <c r="I50" s="467"/>
      <c r="J50" s="467"/>
      <c r="K50" s="1693">
        <f>SUM(C50:J50)</f>
        <v>119916</v>
      </c>
      <c r="L50" s="466">
        <v>119900</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94267</v>
      </c>
      <c r="D53" s="1691">
        <f t="shared" ref="D53:L53" si="5">SUM(D49:D52)</f>
        <v>23573</v>
      </c>
      <c r="E53" s="1691">
        <f t="shared" si="5"/>
        <v>44575</v>
      </c>
      <c r="F53" s="1691">
        <f t="shared" si="5"/>
        <v>1146</v>
      </c>
      <c r="G53" s="1691">
        <f t="shared" si="5"/>
        <v>0</v>
      </c>
      <c r="H53" s="1691">
        <f t="shared" si="5"/>
        <v>0</v>
      </c>
      <c r="I53" s="1691">
        <f t="shared" si="5"/>
        <v>0</v>
      </c>
      <c r="J53" s="1691">
        <f t="shared" si="5"/>
        <v>0</v>
      </c>
      <c r="K53" s="1691">
        <f t="shared" si="5"/>
        <v>163561</v>
      </c>
      <c r="L53" s="1691">
        <f t="shared" si="5"/>
        <v>184400</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149203</v>
      </c>
      <c r="D55" s="481">
        <v>31189</v>
      </c>
      <c r="E55" s="481">
        <v>1702</v>
      </c>
      <c r="F55" s="481">
        <v>225</v>
      </c>
      <c r="G55" s="481"/>
      <c r="H55" s="481">
        <v>444</v>
      </c>
      <c r="I55" s="467"/>
      <c r="J55" s="467"/>
      <c r="K55" s="1693">
        <f>SUM(C55:J55)</f>
        <v>182763</v>
      </c>
      <c r="L55" s="481">
        <v>222700</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149203</v>
      </c>
      <c r="D57" s="1695">
        <f t="shared" ref="D57:K57" si="6">SUM(D55:D56)</f>
        <v>31189</v>
      </c>
      <c r="E57" s="1695">
        <f t="shared" si="6"/>
        <v>1702</v>
      </c>
      <c r="F57" s="1695">
        <f t="shared" si="6"/>
        <v>225</v>
      </c>
      <c r="G57" s="1695">
        <f t="shared" si="6"/>
        <v>0</v>
      </c>
      <c r="H57" s="1695">
        <f t="shared" si="6"/>
        <v>444</v>
      </c>
      <c r="I57" s="1695">
        <f t="shared" si="6"/>
        <v>0</v>
      </c>
      <c r="J57" s="1695">
        <f t="shared" si="6"/>
        <v>0</v>
      </c>
      <c r="K57" s="1695">
        <f t="shared" si="6"/>
        <v>182763</v>
      </c>
      <c r="L57" s="1691">
        <f>SUM(L55:L56)</f>
        <v>222700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48593</v>
      </c>
      <c r="D60" s="466">
        <v>8700</v>
      </c>
      <c r="E60" s="466">
        <v>772</v>
      </c>
      <c r="F60" s="466">
        <v>513</v>
      </c>
      <c r="G60" s="466"/>
      <c r="H60" s="466"/>
      <c r="I60" s="467"/>
      <c r="J60" s="467"/>
      <c r="K60" s="1693">
        <f t="shared" si="7"/>
        <v>58578</v>
      </c>
      <c r="L60" s="466">
        <v>62400</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55369</v>
      </c>
      <c r="D63" s="466">
        <v>17173</v>
      </c>
      <c r="E63" s="466">
        <v>10</v>
      </c>
      <c r="F63" s="466">
        <v>53120</v>
      </c>
      <c r="G63" s="466"/>
      <c r="H63" s="466"/>
      <c r="I63" s="467"/>
      <c r="J63" s="467"/>
      <c r="K63" s="1693">
        <f t="shared" si="7"/>
        <v>125672</v>
      </c>
      <c r="L63" s="466">
        <v>142500</v>
      </c>
    </row>
    <row r="64" spans="1:14" s="610" customFormat="1" x14ac:dyDescent="0.2">
      <c r="A64" s="1530" t="s">
        <v>103</v>
      </c>
      <c r="B64" s="631">
        <v>2570</v>
      </c>
      <c r="C64" s="481"/>
      <c r="D64" s="481"/>
      <c r="E64" s="481">
        <v>4612</v>
      </c>
      <c r="F64" s="481">
        <v>24729</v>
      </c>
      <c r="G64" s="481">
        <v>30941</v>
      </c>
      <c r="H64" s="481"/>
      <c r="I64" s="467"/>
      <c r="J64" s="467"/>
      <c r="K64" s="1693">
        <f t="shared" si="7"/>
        <v>60282</v>
      </c>
      <c r="L64" s="481">
        <v>57500</v>
      </c>
    </row>
    <row r="65" spans="1:14" s="343" customFormat="1" ht="12.75" customHeight="1" thickBot="1" x14ac:dyDescent="0.25">
      <c r="A65" s="1689" t="s">
        <v>743</v>
      </c>
      <c r="B65" s="1690" t="s">
        <v>35</v>
      </c>
      <c r="C65" s="1691">
        <f>SUM(C59:C64)</f>
        <v>103962</v>
      </c>
      <c r="D65" s="1691">
        <f t="shared" ref="D65:L65" si="8">SUM(D59:D64)</f>
        <v>25873</v>
      </c>
      <c r="E65" s="1691">
        <f t="shared" si="8"/>
        <v>5394</v>
      </c>
      <c r="F65" s="1691">
        <f t="shared" si="8"/>
        <v>78362</v>
      </c>
      <c r="G65" s="1691">
        <f t="shared" si="8"/>
        <v>30941</v>
      </c>
      <c r="H65" s="1691">
        <f t="shared" si="8"/>
        <v>0</v>
      </c>
      <c r="I65" s="1691">
        <f t="shared" si="8"/>
        <v>0</v>
      </c>
      <c r="J65" s="1691">
        <f t="shared" si="8"/>
        <v>0</v>
      </c>
      <c r="K65" s="1691">
        <f t="shared" si="8"/>
        <v>244532</v>
      </c>
      <c r="L65" s="1691">
        <f t="shared" si="8"/>
        <v>262400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546975</v>
      </c>
      <c r="D74" s="1698">
        <f t="shared" ref="D74:K74" si="10">SUM(D42,D47,D53,D57,D65,D72,D73)</f>
        <v>114151</v>
      </c>
      <c r="E74" s="1698">
        <f t="shared" si="10"/>
        <v>70027</v>
      </c>
      <c r="F74" s="1698">
        <f t="shared" si="10"/>
        <v>89353</v>
      </c>
      <c r="G74" s="1698">
        <f t="shared" si="10"/>
        <v>30941</v>
      </c>
      <c r="H74" s="1698">
        <f t="shared" si="10"/>
        <v>444</v>
      </c>
      <c r="I74" s="1698">
        <f t="shared" si="10"/>
        <v>0</v>
      </c>
      <c r="J74" s="1698">
        <f t="shared" si="10"/>
        <v>0</v>
      </c>
      <c r="K74" s="1698">
        <f t="shared" si="10"/>
        <v>851891</v>
      </c>
      <c r="L74" s="1698">
        <f>SUM(L42,L47,L53,L57,L65,L72,L73)</f>
        <v>939440</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c r="F79" s="617"/>
      <c r="G79" s="617"/>
      <c r="H79" s="466">
        <v>60500</v>
      </c>
      <c r="I79" s="477"/>
      <c r="J79" s="477"/>
      <c r="K79" s="1692">
        <f t="shared" si="11"/>
        <v>60500</v>
      </c>
      <c r="L79" s="466">
        <v>147000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0</v>
      </c>
      <c r="F84" s="617"/>
      <c r="G84" s="617"/>
      <c r="H84" s="1691">
        <f>SUM(H78:H83)</f>
        <v>60500</v>
      </c>
      <c r="I84" s="477"/>
      <c r="J84" s="477"/>
      <c r="K84" s="1691">
        <f>SUM(K78:K83)</f>
        <v>60500</v>
      </c>
      <c r="L84" s="1691">
        <f>SUM(L78:L83)</f>
        <v>147000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v>32396</v>
      </c>
      <c r="I88" s="477"/>
      <c r="J88" s="477"/>
      <c r="K88" s="1698">
        <f t="shared" si="12"/>
        <v>32396</v>
      </c>
      <c r="L88" s="530">
        <v>35000</v>
      </c>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32396</v>
      </c>
      <c r="I92" s="477"/>
      <c r="J92" s="477"/>
      <c r="K92" s="1698">
        <f t="shared" si="12"/>
        <v>32396</v>
      </c>
      <c r="L92" s="1691">
        <f>SUM(L85:L91)</f>
        <v>35000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0</v>
      </c>
      <c r="F102" s="617"/>
      <c r="G102" s="617"/>
      <c r="H102" s="1698">
        <f>SUM(H84,H92,H100,H101)</f>
        <v>92896</v>
      </c>
      <c r="I102" s="477"/>
      <c r="J102" s="477"/>
      <c r="K102" s="1698">
        <f>SUM(K84,K92,K100,K101)</f>
        <v>92896</v>
      </c>
      <c r="L102" s="1698">
        <f>SUM(L84,L92,L100,L101)</f>
        <v>182000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5000</v>
      </c>
      <c r="M113" s="614"/>
      <c r="N113" s="614"/>
    </row>
    <row r="114" spans="1:14" ht="12.75" customHeight="1" thickTop="1" thickBot="1" x14ac:dyDescent="0.25">
      <c r="A114" s="1689" t="s">
        <v>50</v>
      </c>
      <c r="B114" s="1703"/>
      <c r="C114" s="1691">
        <f>SUM(C33,C74,C75,C102,C112,C113)</f>
        <v>2367869</v>
      </c>
      <c r="D114" s="1691">
        <f t="shared" ref="D114:K114" si="13">SUM(D33,D74,D75,D102,D112,D113)</f>
        <v>531916</v>
      </c>
      <c r="E114" s="1691">
        <f t="shared" si="13"/>
        <v>192008</v>
      </c>
      <c r="F114" s="1691">
        <f t="shared" si="13"/>
        <v>158057</v>
      </c>
      <c r="G114" s="1691">
        <f t="shared" si="13"/>
        <v>129234</v>
      </c>
      <c r="H114" s="1691">
        <f>SUM(H33,H74,H75,H102,H112,H113)</f>
        <v>93340</v>
      </c>
      <c r="I114" s="1691">
        <f t="shared" si="13"/>
        <v>0</v>
      </c>
      <c r="J114" s="1691">
        <f t="shared" si="13"/>
        <v>0</v>
      </c>
      <c r="K114" s="1691">
        <f t="shared" si="13"/>
        <v>3472424</v>
      </c>
      <c r="L114" s="1691">
        <f>SUM(L33,L74,L75,L102,L112,L113)</f>
        <v>4165295</v>
      </c>
    </row>
    <row r="115" spans="1:14" ht="13.5" thickTop="1" x14ac:dyDescent="0.2">
      <c r="A115" s="2205" t="s">
        <v>1053</v>
      </c>
      <c r="B115" s="2206"/>
      <c r="C115" s="619"/>
      <c r="D115" s="619"/>
      <c r="E115" s="619"/>
      <c r="F115" s="619"/>
      <c r="G115" s="619"/>
      <c r="H115" s="619"/>
      <c r="I115" s="619"/>
      <c r="J115" s="619"/>
      <c r="K115" s="1705">
        <f>'Revenues 9-14'!C275-'Expenditures 15-22'!K114</f>
        <v>301883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150976</v>
      </c>
      <c r="D124" s="466">
        <v>25873</v>
      </c>
      <c r="E124" s="466">
        <v>100950</v>
      </c>
      <c r="F124" s="466">
        <v>87973</v>
      </c>
      <c r="G124" s="466">
        <v>63325</v>
      </c>
      <c r="H124" s="466"/>
      <c r="I124" s="467"/>
      <c r="J124" s="467"/>
      <c r="K124" s="1691">
        <f>SUM(C124:J124)</f>
        <v>429097</v>
      </c>
      <c r="L124" s="466">
        <v>470700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150976</v>
      </c>
      <c r="D127" s="1691">
        <f t="shared" ref="D127:L127" si="14">SUM(D122:D126)</f>
        <v>25873</v>
      </c>
      <c r="E127" s="1691">
        <f t="shared" si="14"/>
        <v>100950</v>
      </c>
      <c r="F127" s="1691">
        <f t="shared" si="14"/>
        <v>87973</v>
      </c>
      <c r="G127" s="1691">
        <f t="shared" si="14"/>
        <v>63325</v>
      </c>
      <c r="H127" s="1691">
        <f t="shared" si="14"/>
        <v>0</v>
      </c>
      <c r="I127" s="1691">
        <f t="shared" si="14"/>
        <v>0</v>
      </c>
      <c r="J127" s="1691">
        <f t="shared" si="14"/>
        <v>0</v>
      </c>
      <c r="K127" s="1691">
        <f t="shared" si="14"/>
        <v>429097</v>
      </c>
      <c r="L127" s="1691">
        <f t="shared" si="14"/>
        <v>470700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150976</v>
      </c>
      <c r="D129" s="1698">
        <f t="shared" ref="D129:L129" si="15">SUM(D120,D127,D128)</f>
        <v>25873</v>
      </c>
      <c r="E129" s="1698">
        <f t="shared" si="15"/>
        <v>100950</v>
      </c>
      <c r="F129" s="1698">
        <f t="shared" si="15"/>
        <v>87973</v>
      </c>
      <c r="G129" s="1698">
        <f t="shared" si="15"/>
        <v>63325</v>
      </c>
      <c r="H129" s="1698">
        <f t="shared" si="15"/>
        <v>0</v>
      </c>
      <c r="I129" s="1698">
        <f t="shared" si="15"/>
        <v>0</v>
      </c>
      <c r="J129" s="1698">
        <f t="shared" si="15"/>
        <v>0</v>
      </c>
      <c r="K129" s="1698">
        <f t="shared" si="15"/>
        <v>429097</v>
      </c>
      <c r="L129" s="1698">
        <f t="shared" si="15"/>
        <v>470700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v>9699</v>
      </c>
      <c r="F134" s="617"/>
      <c r="G134" s="617"/>
      <c r="H134" s="481"/>
      <c r="I134" s="477"/>
      <c r="J134" s="617"/>
      <c r="K134" s="1693">
        <f>SUM(E134,H134)</f>
        <v>9699</v>
      </c>
      <c r="L134" s="481">
        <v>20000</v>
      </c>
    </row>
    <row r="135" spans="1:14" x14ac:dyDescent="0.2">
      <c r="A135" s="1525" t="s">
        <v>721</v>
      </c>
      <c r="B135" s="615">
        <v>4140</v>
      </c>
      <c r="C135" s="617"/>
      <c r="D135" s="617"/>
      <c r="E135" s="467"/>
      <c r="F135" s="617"/>
      <c r="G135" s="617"/>
      <c r="H135" s="466"/>
      <c r="I135" s="477"/>
      <c r="J135" s="617"/>
      <c r="K135" s="1693">
        <f>SUM(E135,H135)</f>
        <v>0</v>
      </c>
      <c r="L135" s="466">
        <v>30000</v>
      </c>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9699</v>
      </c>
      <c r="F137" s="617"/>
      <c r="G137" s="617"/>
      <c r="H137" s="1691">
        <f>SUM(H133:H136)</f>
        <v>0</v>
      </c>
      <c r="I137" s="477"/>
      <c r="J137" s="617"/>
      <c r="K137" s="1691">
        <f>SUM(K133:K136)</f>
        <v>9699</v>
      </c>
      <c r="L137" s="1691">
        <f>SUM(L133:L136)</f>
        <v>50000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9699</v>
      </c>
      <c r="F139" s="617"/>
      <c r="G139" s="617"/>
      <c r="H139" s="1700">
        <f>SUM(H137:H138)</f>
        <v>0</v>
      </c>
      <c r="I139" s="477"/>
      <c r="J139" s="617"/>
      <c r="K139" s="1693">
        <f>SUM(K137,K138)</f>
        <v>9699</v>
      </c>
      <c r="L139" s="1700">
        <f>SUM(L137,L138)</f>
        <v>50000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10000</v>
      </c>
    </row>
    <row r="151" spans="1:14" ht="12.75" customHeight="1" thickTop="1" thickBot="1" x14ac:dyDescent="0.25">
      <c r="A151" s="2195" t="s">
        <v>641</v>
      </c>
      <c r="B151" s="2177"/>
      <c r="C151" s="1691">
        <f>SUM(C129,C130,C139,C149,C150)</f>
        <v>150976</v>
      </c>
      <c r="D151" s="1691">
        <f t="shared" ref="D151:K151" si="16">SUM(D129,D130,D139,D149,D150)</f>
        <v>25873</v>
      </c>
      <c r="E151" s="1691">
        <f t="shared" si="16"/>
        <v>110649</v>
      </c>
      <c r="F151" s="1691">
        <f t="shared" si="16"/>
        <v>87973</v>
      </c>
      <c r="G151" s="1691">
        <f t="shared" si="16"/>
        <v>63325</v>
      </c>
      <c r="H151" s="1691">
        <f t="shared" si="16"/>
        <v>0</v>
      </c>
      <c r="I151" s="1691">
        <f t="shared" si="16"/>
        <v>0</v>
      </c>
      <c r="J151" s="1691">
        <f t="shared" si="16"/>
        <v>0</v>
      </c>
      <c r="K151" s="1691">
        <f t="shared" si="16"/>
        <v>438796</v>
      </c>
      <c r="L151" s="1691">
        <f>SUM(L129,L130,L139,L149,L150)</f>
        <v>530700</v>
      </c>
    </row>
    <row r="152" spans="1:14" ht="12.75" customHeight="1" thickTop="1" x14ac:dyDescent="0.2">
      <c r="A152" s="2198" t="s">
        <v>1240</v>
      </c>
      <c r="B152" s="2199"/>
      <c r="C152" s="619"/>
      <c r="D152" s="619"/>
      <c r="E152" s="619"/>
      <c r="F152" s="619"/>
      <c r="G152" s="619"/>
      <c r="H152" s="619"/>
      <c r="I152" s="619"/>
      <c r="J152" s="617"/>
      <c r="K152" s="1705">
        <f>'Revenues 9-14'!D275-'Expenditures 15-22'!K151</f>
        <v>17399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205" t="s">
        <v>1053</v>
      </c>
      <c r="B175" s="2206"/>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131469</v>
      </c>
      <c r="D182" s="466">
        <v>8529</v>
      </c>
      <c r="E182" s="466">
        <v>30718</v>
      </c>
      <c r="F182" s="466">
        <v>32491</v>
      </c>
      <c r="G182" s="466">
        <v>98379</v>
      </c>
      <c r="H182" s="466"/>
      <c r="I182" s="467"/>
      <c r="J182" s="467"/>
      <c r="K182" s="1692">
        <f>SUM(C182:J182)</f>
        <v>301586</v>
      </c>
      <c r="L182" s="466">
        <v>443000</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131469</v>
      </c>
      <c r="D184" s="1698">
        <f>SUM(D180,D182,D183)</f>
        <v>8529</v>
      </c>
      <c r="E184" s="1698">
        <f>SUM(E180,E182,E183)</f>
        <v>30718</v>
      </c>
      <c r="F184" s="1698">
        <f>SUM(F180,F182,F183)</f>
        <v>32491</v>
      </c>
      <c r="G184" s="1698">
        <f>SUM(G180,G182,G183)</f>
        <v>98379</v>
      </c>
      <c r="H184" s="1698">
        <f t="shared" ref="H184:J184" si="17">SUM(H180,H182,H183)</f>
        <v>0</v>
      </c>
      <c r="I184" s="1698">
        <f t="shared" si="17"/>
        <v>0</v>
      </c>
      <c r="J184" s="1698">
        <f t="shared" si="17"/>
        <v>0</v>
      </c>
      <c r="K184" s="1698">
        <f>SUM(K180,K182,K183)</f>
        <v>301586</v>
      </c>
      <c r="L184" s="1698">
        <f>SUM(L180, L182:L183)</f>
        <v>443000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5000</v>
      </c>
    </row>
    <row r="210" spans="1:14" ht="12.75" customHeight="1" thickTop="1" thickBot="1" x14ac:dyDescent="0.25">
      <c r="A210" s="1713" t="s">
        <v>295</v>
      </c>
      <c r="B210" s="1714"/>
      <c r="C210" s="1691">
        <f>SUM(C184,C185)</f>
        <v>131469</v>
      </c>
      <c r="D210" s="1691">
        <f>SUM(D184,D185)</f>
        <v>8529</v>
      </c>
      <c r="E210" s="1691">
        <f>SUM(E184,E185,E196)</f>
        <v>30718</v>
      </c>
      <c r="F210" s="1691">
        <f>SUM(F184,F185)</f>
        <v>32491</v>
      </c>
      <c r="G210" s="1691">
        <f>SUM(G184,G185)</f>
        <v>98379</v>
      </c>
      <c r="H210" s="1691">
        <f>SUM(H184,H185,H196,H208,H209)</f>
        <v>0</v>
      </c>
      <c r="I210" s="1691">
        <f>SUM(I184,I185)</f>
        <v>0</v>
      </c>
      <c r="J210" s="1691">
        <f>SUM(J184,J185)</f>
        <v>0</v>
      </c>
      <c r="K210" s="1692">
        <f>SUM(K184,K185,K196,K208,K209)</f>
        <v>301586</v>
      </c>
      <c r="L210" s="1691">
        <f>SUM(L184,L185,L196,L208,L209)</f>
        <v>448000</v>
      </c>
    </row>
    <row r="211" spans="1:14" ht="13.5" thickTop="1" x14ac:dyDescent="0.2">
      <c r="A211" s="2205" t="s">
        <v>1053</v>
      </c>
      <c r="B211" s="2206"/>
      <c r="C211" s="619"/>
      <c r="D211" s="619"/>
      <c r="E211" s="619"/>
      <c r="F211" s="619"/>
      <c r="G211" s="619"/>
      <c r="H211" s="619"/>
      <c r="I211" s="617"/>
      <c r="J211" s="617"/>
      <c r="K211" s="1705">
        <f>'Revenues 9-14'!F275-'Expenditures 15-22'!K210</f>
        <v>131898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15349</v>
      </c>
      <c r="E215" s="617"/>
      <c r="F215" s="617"/>
      <c r="G215" s="617"/>
      <c r="H215" s="617"/>
      <c r="I215" s="617"/>
      <c r="J215" s="617"/>
      <c r="K215" s="1692">
        <f>D215</f>
        <v>15349</v>
      </c>
      <c r="L215" s="466">
        <v>27250</v>
      </c>
    </row>
    <row r="216" spans="1:14" x14ac:dyDescent="0.2">
      <c r="A216" s="1525" t="s">
        <v>165</v>
      </c>
      <c r="B216" s="615" t="s">
        <v>1024</v>
      </c>
      <c r="C216" s="617"/>
      <c r="D216" s="467">
        <v>3203</v>
      </c>
      <c r="E216" s="617"/>
      <c r="F216" s="617"/>
      <c r="G216" s="617"/>
      <c r="H216" s="617"/>
      <c r="I216" s="617"/>
      <c r="J216" s="617"/>
      <c r="K216" s="1692">
        <f t="shared" ref="K216:K228" si="19">D216</f>
        <v>3203</v>
      </c>
      <c r="L216" s="466">
        <v>4550</v>
      </c>
    </row>
    <row r="217" spans="1:14" x14ac:dyDescent="0.2">
      <c r="A217" s="1525" t="s">
        <v>166</v>
      </c>
      <c r="B217" s="615">
        <v>1200</v>
      </c>
      <c r="C217" s="617"/>
      <c r="D217" s="466">
        <v>16978</v>
      </c>
      <c r="E217" s="617"/>
      <c r="F217" s="617"/>
      <c r="G217" s="617"/>
      <c r="H217" s="617"/>
      <c r="I217" s="617"/>
      <c r="J217" s="617"/>
      <c r="K217" s="1692">
        <f t="shared" si="19"/>
        <v>16978</v>
      </c>
      <c r="L217" s="466">
        <v>24000</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5640</v>
      </c>
      <c r="E219" s="617"/>
      <c r="F219" s="617"/>
      <c r="G219" s="617"/>
      <c r="H219" s="617"/>
      <c r="I219" s="617"/>
      <c r="J219" s="617"/>
      <c r="K219" s="1692">
        <f t="shared" si="19"/>
        <v>5640</v>
      </c>
      <c r="L219" s="466">
        <v>9000</v>
      </c>
    </row>
    <row r="220" spans="1:14" x14ac:dyDescent="0.2">
      <c r="A220" s="1525" t="s">
        <v>298</v>
      </c>
      <c r="B220" s="615" t="s">
        <v>163</v>
      </c>
      <c r="C220" s="617"/>
      <c r="D220" s="467">
        <v>368</v>
      </c>
      <c r="E220" s="617"/>
      <c r="F220" s="617"/>
      <c r="G220" s="617"/>
      <c r="H220" s="617"/>
      <c r="I220" s="617"/>
      <c r="J220" s="617"/>
      <c r="K220" s="1692">
        <f t="shared" si="19"/>
        <v>368</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2144</v>
      </c>
      <c r="E222" s="617"/>
      <c r="F222" s="617"/>
      <c r="G222" s="617"/>
      <c r="H222" s="617"/>
      <c r="I222" s="617"/>
      <c r="J222" s="617"/>
      <c r="K222" s="1692">
        <f t="shared" si="19"/>
        <v>2144</v>
      </c>
      <c r="L222" s="466">
        <v>2000</v>
      </c>
    </row>
    <row r="223" spans="1:14" x14ac:dyDescent="0.2">
      <c r="A223" s="1525" t="s">
        <v>1020</v>
      </c>
      <c r="B223" s="615">
        <v>1500</v>
      </c>
      <c r="C223" s="617"/>
      <c r="D223" s="466">
        <v>3390</v>
      </c>
      <c r="E223" s="617"/>
      <c r="F223" s="617"/>
      <c r="G223" s="617"/>
      <c r="H223" s="617"/>
      <c r="I223" s="617"/>
      <c r="J223" s="617"/>
      <c r="K223" s="1692">
        <f t="shared" si="19"/>
        <v>3390</v>
      </c>
      <c r="L223" s="466">
        <v>6700</v>
      </c>
    </row>
    <row r="224" spans="1:14" x14ac:dyDescent="0.2">
      <c r="A224" s="1525" t="s">
        <v>1021</v>
      </c>
      <c r="B224" s="615">
        <v>1600</v>
      </c>
      <c r="C224" s="617"/>
      <c r="D224" s="466">
        <v>110</v>
      </c>
      <c r="E224" s="617"/>
      <c r="F224" s="617"/>
      <c r="G224" s="617"/>
      <c r="H224" s="617"/>
      <c r="I224" s="617"/>
      <c r="J224" s="617"/>
      <c r="K224" s="1692">
        <f t="shared" si="19"/>
        <v>110</v>
      </c>
      <c r="L224" s="466">
        <v>800</v>
      </c>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152</v>
      </c>
      <c r="E226" s="617"/>
      <c r="F226" s="617"/>
      <c r="G226" s="617"/>
      <c r="H226" s="617"/>
      <c r="I226" s="617"/>
      <c r="J226" s="617"/>
      <c r="K226" s="1692">
        <f t="shared" si="19"/>
        <v>152</v>
      </c>
      <c r="L226" s="466">
        <v>200</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47334</v>
      </c>
      <c r="E229" s="617"/>
      <c r="F229" s="617"/>
      <c r="G229" s="617"/>
      <c r="H229" s="617"/>
      <c r="I229" s="617"/>
      <c r="J229" s="617"/>
      <c r="K229" s="1691">
        <f>SUM(K215:K228)</f>
        <v>47334</v>
      </c>
      <c r="L229" s="1691">
        <f>SUM(L215:L228)</f>
        <v>74500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907</v>
      </c>
      <c r="E233" s="617"/>
      <c r="F233" s="617"/>
      <c r="G233" s="617"/>
      <c r="H233" s="617"/>
      <c r="I233" s="617"/>
      <c r="J233" s="617"/>
      <c r="K233" s="1692">
        <f t="shared" si="20"/>
        <v>907</v>
      </c>
      <c r="L233" s="466">
        <v>1200</v>
      </c>
    </row>
    <row r="234" spans="1:12" x14ac:dyDescent="0.2">
      <c r="A234" s="1525" t="s">
        <v>207</v>
      </c>
      <c r="B234" s="615">
        <v>2130</v>
      </c>
      <c r="C234" s="617"/>
      <c r="D234" s="466"/>
      <c r="E234" s="617"/>
      <c r="F234" s="617"/>
      <c r="G234" s="617"/>
      <c r="H234" s="617"/>
      <c r="I234" s="617"/>
      <c r="J234" s="617"/>
      <c r="K234" s="1692">
        <f t="shared" si="20"/>
        <v>0</v>
      </c>
      <c r="L234" s="466"/>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910</v>
      </c>
      <c r="E236" s="617"/>
      <c r="F236" s="617"/>
      <c r="G236" s="617"/>
      <c r="H236" s="617"/>
      <c r="I236" s="617"/>
      <c r="J236" s="617"/>
      <c r="K236" s="1692">
        <f t="shared" si="20"/>
        <v>910</v>
      </c>
      <c r="L236" s="466">
        <v>1200</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1817</v>
      </c>
      <c r="E238" s="617"/>
      <c r="F238" s="617"/>
      <c r="G238" s="617"/>
      <c r="H238" s="617"/>
      <c r="I238" s="617"/>
      <c r="J238" s="617"/>
      <c r="K238" s="1691">
        <f>SUM(K232:K237)</f>
        <v>1817</v>
      </c>
      <c r="L238" s="1691">
        <f>SUM(L232:L237)</f>
        <v>2400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v>300</v>
      </c>
    </row>
    <row r="241" spans="1:12" x14ac:dyDescent="0.2">
      <c r="A241" s="1525" t="s">
        <v>869</v>
      </c>
      <c r="B241" s="615">
        <v>2220</v>
      </c>
      <c r="C241" s="617"/>
      <c r="D241" s="466">
        <v>1061</v>
      </c>
      <c r="E241" s="617"/>
      <c r="F241" s="617"/>
      <c r="G241" s="617"/>
      <c r="H241" s="617"/>
      <c r="I241" s="617"/>
      <c r="J241" s="617"/>
      <c r="K241" s="1693">
        <f>D241</f>
        <v>1061</v>
      </c>
      <c r="L241" s="466">
        <v>1400</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1061</v>
      </c>
      <c r="E243" s="617"/>
      <c r="F243" s="617"/>
      <c r="G243" s="617"/>
      <c r="H243" s="617"/>
      <c r="I243" s="617"/>
      <c r="J243" s="617"/>
      <c r="K243" s="1691">
        <f>SUM(K240:K242)</f>
        <v>1061</v>
      </c>
      <c r="L243" s="1691">
        <f>SUM(L240:L242)</f>
        <v>1700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172</v>
      </c>
      <c r="E245" s="617"/>
      <c r="F245" s="617"/>
      <c r="G245" s="617"/>
      <c r="H245" s="617"/>
      <c r="I245" s="617"/>
      <c r="J245" s="617"/>
      <c r="K245" s="1693">
        <f>D245</f>
        <v>172</v>
      </c>
      <c r="L245" s="481">
        <v>400</v>
      </c>
    </row>
    <row r="246" spans="1:12" x14ac:dyDescent="0.2">
      <c r="A246" s="1525" t="s">
        <v>872</v>
      </c>
      <c r="B246" s="615">
        <v>2320</v>
      </c>
      <c r="C246" s="617"/>
      <c r="D246" s="466">
        <v>1092</v>
      </c>
      <c r="E246" s="617"/>
      <c r="F246" s="617"/>
      <c r="G246" s="617"/>
      <c r="H246" s="617"/>
      <c r="I246" s="617"/>
      <c r="J246" s="617"/>
      <c r="K246" s="1693">
        <f t="shared" ref="K246:K256" si="21">D246</f>
        <v>1092</v>
      </c>
      <c r="L246" s="466">
        <v>1500</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1264</v>
      </c>
      <c r="E257" s="617"/>
      <c r="F257" s="617"/>
      <c r="G257" s="617"/>
      <c r="H257" s="617"/>
      <c r="I257" s="617"/>
      <c r="J257" s="617"/>
      <c r="K257" s="1691">
        <f>SUM(K245:K256)</f>
        <v>1264</v>
      </c>
      <c r="L257" s="1691">
        <f>SUM(L245:L256)</f>
        <v>1900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9627</v>
      </c>
      <c r="E259" s="617"/>
      <c r="F259" s="617"/>
      <c r="G259" s="617"/>
      <c r="H259" s="617"/>
      <c r="I259" s="617"/>
      <c r="J259" s="617"/>
      <c r="K259" s="1693">
        <f>D259</f>
        <v>9627</v>
      </c>
      <c r="L259" s="481">
        <v>13000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9627</v>
      </c>
      <c r="E261" s="617"/>
      <c r="F261" s="617"/>
      <c r="G261" s="617"/>
      <c r="H261" s="617"/>
      <c r="I261" s="617"/>
      <c r="J261" s="617"/>
      <c r="K261" s="1691">
        <f>SUM(K259:K260)</f>
        <v>9627</v>
      </c>
      <c r="L261" s="1691">
        <f>SUM(L259:L260)</f>
        <v>13000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9048</v>
      </c>
      <c r="E264" s="617"/>
      <c r="F264" s="617"/>
      <c r="G264" s="617"/>
      <c r="H264" s="617"/>
      <c r="I264" s="617"/>
      <c r="J264" s="617"/>
      <c r="K264" s="1693">
        <f t="shared" ref="K264:K269" si="22">D264</f>
        <v>9048</v>
      </c>
      <c r="L264" s="466">
        <v>11000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29013</v>
      </c>
      <c r="E266" s="617"/>
      <c r="F266" s="617"/>
      <c r="G266" s="617"/>
      <c r="H266" s="617"/>
      <c r="I266" s="617"/>
      <c r="J266" s="617"/>
      <c r="K266" s="1693">
        <f t="shared" si="22"/>
        <v>29013</v>
      </c>
      <c r="L266" s="466">
        <v>34600</v>
      </c>
    </row>
    <row r="267" spans="1:14" x14ac:dyDescent="0.2">
      <c r="A267" s="1525" t="s">
        <v>1010</v>
      </c>
      <c r="B267" s="615">
        <v>2550</v>
      </c>
      <c r="C267" s="617"/>
      <c r="D267" s="466">
        <v>18554</v>
      </c>
      <c r="E267" s="617"/>
      <c r="F267" s="617"/>
      <c r="G267" s="617"/>
      <c r="H267" s="617"/>
      <c r="I267" s="617"/>
      <c r="J267" s="617"/>
      <c r="K267" s="1693">
        <f t="shared" si="22"/>
        <v>18554</v>
      </c>
      <c r="L267" s="466">
        <v>25000</v>
      </c>
    </row>
    <row r="268" spans="1:14" x14ac:dyDescent="0.2">
      <c r="A268" s="1525" t="s">
        <v>102</v>
      </c>
      <c r="B268" s="615">
        <v>2560</v>
      </c>
      <c r="C268" s="617"/>
      <c r="D268" s="466">
        <v>9660</v>
      </c>
      <c r="E268" s="617"/>
      <c r="F268" s="617"/>
      <c r="G268" s="617"/>
      <c r="H268" s="617"/>
      <c r="I268" s="617"/>
      <c r="J268" s="617"/>
      <c r="K268" s="1693">
        <f t="shared" si="22"/>
        <v>9660</v>
      </c>
      <c r="L268" s="466">
        <v>11300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66275</v>
      </c>
      <c r="E270" s="617"/>
      <c r="F270" s="617"/>
      <c r="G270" s="617"/>
      <c r="H270" s="617"/>
      <c r="I270" s="617"/>
      <c r="J270" s="617"/>
      <c r="K270" s="1691">
        <f>SUM(K263:K269)</f>
        <v>66275</v>
      </c>
      <c r="L270" s="1691">
        <f>SUM(L263:L269)</f>
        <v>81900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80044</v>
      </c>
      <c r="E279" s="617"/>
      <c r="F279" s="617"/>
      <c r="G279" s="617"/>
      <c r="H279" s="617"/>
      <c r="I279" s="617"/>
      <c r="J279" s="617"/>
      <c r="K279" s="1698">
        <f>SUM(K238,K243,K257,K261,K270,K277,K278)</f>
        <v>80044</v>
      </c>
      <c r="L279" s="1698">
        <f>SUM(L238,L243,L257,L261,L270,L277,L278)</f>
        <v>100900</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5000</v>
      </c>
    </row>
    <row r="295" spans="1:14" ht="12.75" customHeight="1" thickTop="1" thickBot="1" x14ac:dyDescent="0.25">
      <c r="A295" s="2196" t="s">
        <v>526</v>
      </c>
      <c r="B295" s="2197"/>
      <c r="C295" s="617"/>
      <c r="D295" s="1691">
        <f>SUM(D229,D279,D280,D285)</f>
        <v>127378</v>
      </c>
      <c r="E295" s="617"/>
      <c r="F295" s="617"/>
      <c r="G295" s="617"/>
      <c r="H295" s="1691">
        <f>H293</f>
        <v>0</v>
      </c>
      <c r="I295" s="617"/>
      <c r="J295" s="617"/>
      <c r="K295" s="1691">
        <f>SUM(K229,K279,K280,K285,K293,K294)</f>
        <v>127378</v>
      </c>
      <c r="L295" s="1691">
        <f>SUM(L229,L279,L280,L285,L293,L294)</f>
        <v>180400</v>
      </c>
    </row>
    <row r="296" spans="1:14" ht="13.5" thickTop="1" x14ac:dyDescent="0.2">
      <c r="A296" s="2205" t="s">
        <v>1053</v>
      </c>
      <c r="B296" s="2206"/>
      <c r="C296" s="617"/>
      <c r="D296" s="619"/>
      <c r="E296" s="617"/>
      <c r="F296" s="617"/>
      <c r="G296" s="617"/>
      <c r="H296" s="688"/>
      <c r="I296" s="617"/>
      <c r="J296" s="617"/>
      <c r="K296" s="1705">
        <f>'Revenues 9-14'!G275-'Expenditures 15-22'!K295</f>
        <v>20661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166110</v>
      </c>
      <c r="H301" s="466"/>
      <c r="I301" s="467"/>
      <c r="J301" s="467"/>
      <c r="K301" s="1692">
        <f>SUM(C301:J301)</f>
        <v>166110</v>
      </c>
      <c r="L301" s="467">
        <v>225000</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166110</v>
      </c>
      <c r="H303" s="1698">
        <f t="shared" si="23"/>
        <v>0</v>
      </c>
      <c r="I303" s="1698">
        <f t="shared" si="23"/>
        <v>0</v>
      </c>
      <c r="J303" s="1698">
        <f t="shared" si="23"/>
        <v>0</v>
      </c>
      <c r="K303" s="1698">
        <f t="shared" si="23"/>
        <v>166110</v>
      </c>
      <c r="L303" s="1698">
        <f t="shared" si="23"/>
        <v>225000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3" t="s">
        <v>295</v>
      </c>
      <c r="B312" s="2194"/>
      <c r="C312" s="1691">
        <f>SUM(C303)</f>
        <v>0</v>
      </c>
      <c r="D312" s="1691">
        <f>SUM(D303)</f>
        <v>0</v>
      </c>
      <c r="E312" s="1691">
        <f>SUM(E303,E310)</f>
        <v>0</v>
      </c>
      <c r="F312" s="1691">
        <f>SUM(F303)</f>
        <v>0</v>
      </c>
      <c r="G312" s="1691">
        <f>SUM(G303)</f>
        <v>166110</v>
      </c>
      <c r="H312" s="1691">
        <f>SUM(H303,H310)</f>
        <v>0</v>
      </c>
      <c r="I312" s="1691">
        <f>SUM(I303)</f>
        <v>0</v>
      </c>
      <c r="J312" s="1691">
        <f>SUM(J303)</f>
        <v>0</v>
      </c>
      <c r="K312" s="1691">
        <f>SUM(K303,K310,K311)</f>
        <v>166110</v>
      </c>
      <c r="L312" s="1691">
        <f>SUM(L303,L310,L311)</f>
        <v>225000</v>
      </c>
      <c r="M312" s="666"/>
      <c r="N312" s="666"/>
    </row>
    <row r="313" spans="1:14" ht="13.5" thickTop="1" x14ac:dyDescent="0.2">
      <c r="A313" s="2189" t="s">
        <v>1053</v>
      </c>
      <c r="B313" s="2190"/>
      <c r="C313" s="627"/>
      <c r="D313" s="627"/>
      <c r="E313" s="627"/>
      <c r="F313" s="627"/>
      <c r="G313" s="627"/>
      <c r="H313" s="627"/>
      <c r="I313" s="627"/>
      <c r="J313" s="627"/>
      <c r="K313" s="1706">
        <f>'Revenues 9-14'!H275-'Expenditures 15-22'!K312</f>
        <v>-23447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23559</v>
      </c>
      <c r="F320" s="467"/>
      <c r="G320" s="467"/>
      <c r="H320" s="467"/>
      <c r="I320" s="467"/>
      <c r="J320" s="467"/>
      <c r="K320" s="1692">
        <f t="shared" ref="K320:K327" si="24">SUM(C320:J320)</f>
        <v>23559</v>
      </c>
      <c r="L320" s="467">
        <v>31500</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v>5000</v>
      </c>
      <c r="M322" s="666"/>
      <c r="N322" s="666"/>
    </row>
    <row r="323" spans="1:14" s="675" customFormat="1" x14ac:dyDescent="0.2">
      <c r="A323" s="1540" t="s">
        <v>726</v>
      </c>
      <c r="B323" s="698" t="s">
        <v>303</v>
      </c>
      <c r="C323" s="467">
        <v>32202</v>
      </c>
      <c r="D323" s="467"/>
      <c r="E323" s="467"/>
      <c r="F323" s="467"/>
      <c r="G323" s="467"/>
      <c r="H323" s="467"/>
      <c r="I323" s="467"/>
      <c r="J323" s="467"/>
      <c r="K323" s="1692">
        <f t="shared" si="24"/>
        <v>32202</v>
      </c>
      <c r="L323" s="467">
        <v>36000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v>10000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32202</v>
      </c>
      <c r="D330" s="1691">
        <f t="shared" ref="D330:J330" si="25">SUM(D319:D329)</f>
        <v>0</v>
      </c>
      <c r="E330" s="1691">
        <f t="shared" si="25"/>
        <v>23559</v>
      </c>
      <c r="F330" s="1691">
        <f t="shared" si="25"/>
        <v>0</v>
      </c>
      <c r="G330" s="1691">
        <f t="shared" si="25"/>
        <v>0</v>
      </c>
      <c r="H330" s="1691">
        <f t="shared" si="25"/>
        <v>0</v>
      </c>
      <c r="I330" s="1691">
        <f t="shared" si="25"/>
        <v>0</v>
      </c>
      <c r="J330" s="1691">
        <f t="shared" si="25"/>
        <v>0</v>
      </c>
      <c r="K330" s="1691">
        <f>SUM(K319:K329)</f>
        <v>55761</v>
      </c>
      <c r="L330" s="1691">
        <f>SUM(L319:L329)</f>
        <v>82500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32202</v>
      </c>
      <c r="D342" s="1691">
        <f>SUM(D330)</f>
        <v>0</v>
      </c>
      <c r="E342" s="1691">
        <f>SUM(E330)</f>
        <v>23559</v>
      </c>
      <c r="F342" s="1691">
        <f>SUM(F330)</f>
        <v>0</v>
      </c>
      <c r="G342" s="1691">
        <f>SUM(G330)</f>
        <v>0</v>
      </c>
      <c r="H342" s="1691">
        <f>SUM(H330,H334,H340)</f>
        <v>0</v>
      </c>
      <c r="I342" s="1691">
        <f>SUM(I330)</f>
        <v>0</v>
      </c>
      <c r="J342" s="1691">
        <f>SUM(J330)</f>
        <v>0</v>
      </c>
      <c r="K342" s="1691">
        <f>SUM(K330,K334,K340)</f>
        <v>55761</v>
      </c>
      <c r="L342" s="1698">
        <f>SUM(L330,L340,L341)</f>
        <v>82500</v>
      </c>
    </row>
    <row r="343" spans="1:14" ht="12.75" customHeight="1" thickTop="1" x14ac:dyDescent="0.2">
      <c r="A343" s="2191" t="s">
        <v>1053</v>
      </c>
      <c r="B343" s="2192"/>
      <c r="C343" s="617"/>
      <c r="D343" s="617"/>
      <c r="E343" s="617"/>
      <c r="F343" s="617"/>
      <c r="G343" s="617"/>
      <c r="H343" s="617"/>
      <c r="I343" s="617"/>
      <c r="J343" s="617"/>
      <c r="K343" s="1705">
        <f>'Revenues 9-14'!J275-'Expenditures 15-22'!K342</f>
        <v>33797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v>8053</v>
      </c>
      <c r="F348" s="466"/>
      <c r="G348" s="466">
        <v>9364</v>
      </c>
      <c r="H348" s="466"/>
      <c r="I348" s="467"/>
      <c r="J348" s="467"/>
      <c r="K348" s="1692">
        <f>SUM(C348:J348)</f>
        <v>17417</v>
      </c>
      <c r="L348" s="466">
        <v>30000</v>
      </c>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8053</v>
      </c>
      <c r="F350" s="1691">
        <f t="shared" si="26"/>
        <v>0</v>
      </c>
      <c r="G350" s="1691">
        <f t="shared" si="26"/>
        <v>9364</v>
      </c>
      <c r="H350" s="1691">
        <f t="shared" si="26"/>
        <v>0</v>
      </c>
      <c r="I350" s="1691">
        <f t="shared" si="26"/>
        <v>0</v>
      </c>
      <c r="J350" s="1691">
        <f t="shared" si="26"/>
        <v>0</v>
      </c>
      <c r="K350" s="1691">
        <f t="shared" si="26"/>
        <v>17417</v>
      </c>
      <c r="L350" s="1691">
        <f t="shared" si="26"/>
        <v>30000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8053</v>
      </c>
      <c r="F352" s="1691">
        <f t="shared" si="27"/>
        <v>0</v>
      </c>
      <c r="G352" s="1691">
        <f t="shared" si="27"/>
        <v>9364</v>
      </c>
      <c r="H352" s="1691">
        <f t="shared" si="27"/>
        <v>0</v>
      </c>
      <c r="I352" s="1691">
        <f t="shared" si="27"/>
        <v>0</v>
      </c>
      <c r="J352" s="1691">
        <f t="shared" si="27"/>
        <v>0</v>
      </c>
      <c r="K352" s="1691">
        <f t="shared" si="27"/>
        <v>17417</v>
      </c>
      <c r="L352" s="1691">
        <f t="shared" si="27"/>
        <v>30000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8053</v>
      </c>
      <c r="F367" s="1691">
        <f t="shared" si="28"/>
        <v>0</v>
      </c>
      <c r="G367" s="1691">
        <f t="shared" si="28"/>
        <v>9364</v>
      </c>
      <c r="H367" s="1691">
        <f t="shared" si="28"/>
        <v>0</v>
      </c>
      <c r="I367" s="1691">
        <f t="shared" si="28"/>
        <v>0</v>
      </c>
      <c r="J367" s="1691">
        <f t="shared" si="28"/>
        <v>0</v>
      </c>
      <c r="K367" s="1691">
        <f t="shared" si="28"/>
        <v>17417</v>
      </c>
      <c r="L367" s="1691">
        <f t="shared" si="28"/>
        <v>30000</v>
      </c>
    </row>
    <row r="368" spans="1:14" ht="13.5" thickTop="1" x14ac:dyDescent="0.2">
      <c r="A368" s="2205" t="s">
        <v>1053</v>
      </c>
      <c r="B368" s="2206"/>
      <c r="C368" s="655"/>
      <c r="D368" s="655"/>
      <c r="E368" s="627"/>
      <c r="F368" s="627"/>
      <c r="G368" s="627"/>
      <c r="H368" s="627"/>
      <c r="I368" s="627"/>
      <c r="J368" s="624"/>
      <c r="K368" s="1692">
        <f>'Revenues 9-14'!K275-'Expenditures 15-22'!K367</f>
        <v>-11528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d21dc803-237d-4c68-8692-8d731fd29118"/>
    <ds:schemaRef ds:uri="http://schemas.microsoft.com/office/infopath/2007/PartnerControls"/>
    <ds:schemaRef ds:uri="6ce3111e-7420-4802-b50a-75d4e9a0b980"/>
    <ds:schemaRef ds:uri="4d435f69-8686-490b-bd6d-b153bf22ab50"/>
    <ds:schemaRef ds:uri="http://purl.org/dc/term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2018-10-10T14:25:38Z</cp:lastPrinted>
  <dcterms:created xsi:type="dcterms:W3CDTF">2003-10-29T19:06:34Z</dcterms:created>
  <dcterms:modified xsi:type="dcterms:W3CDTF">2018-10-12T15:32:08Z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Scales Mound CUSD #211</vt:lpwstr>
  </property>
  <property fmtid="{D5CDD505-2E9C-101B-9397-08002B2CF9AE}" pid="6" name="PPC_Template_Engagement_Date">
    <vt:lpwstr>6/30/2018</vt:lpwstr>
  </property>
</Properties>
</file>