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2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18">'Itemization 33'!$A$1:$I$65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8" i="127" l="1"/>
  <c r="G24" i="127"/>
  <c r="G8"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s="1"/>
  <c r="B6304" i="106"/>
  <c r="D6304" i="106" s="1"/>
  <c r="B6305" i="106"/>
  <c r="D6305" i="106" s="1"/>
  <c r="B6307" i="106"/>
  <c r="D6307" i="106" s="1"/>
  <c r="B6308" i="106"/>
  <c r="D6308" i="106" s="1"/>
  <c r="B6309" i="106"/>
  <c r="D6309" i="106"/>
  <c r="B6310" i="106"/>
  <c r="D6310" i="106" s="1"/>
  <c r="B6311" i="106"/>
  <c r="D6311" i="106"/>
  <c r="B6312" i="106"/>
  <c r="D6312" i="106" s="1"/>
  <c r="B6313" i="106"/>
  <c r="D6313" i="106" s="1"/>
  <c r="B6314" i="106"/>
  <c r="D6314" i="106" s="1"/>
  <c r="B6315" i="106"/>
  <c r="D6315" i="106" s="1"/>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s="1"/>
  <c r="B6331" i="106"/>
  <c r="D6331" i="106" s="1"/>
  <c r="B6332" i="106"/>
  <c r="D6332" i="106" s="1"/>
  <c r="B6333" i="106"/>
  <c r="D6333" i="106"/>
  <c r="B6334" i="106"/>
  <c r="D6334" i="106" s="1"/>
  <c r="B6335" i="106"/>
  <c r="D6335" i="106"/>
  <c r="B6336" i="106"/>
  <c r="D6336" i="106" s="1"/>
  <c r="B6337" i="106"/>
  <c r="D6337" i="106" s="1"/>
  <c r="B6338" i="106"/>
  <c r="D6338" i="106" s="1"/>
  <c r="B6339" i="106"/>
  <c r="D6339" i="106" s="1"/>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s="1"/>
  <c r="B6361" i="106"/>
  <c r="D6361" i="106"/>
  <c r="B6362" i="106"/>
  <c r="D6362" i="106" s="1"/>
  <c r="B6363" i="106"/>
  <c r="D6363" i="106"/>
  <c r="B6364" i="106"/>
  <c r="D6364" i="106" s="1"/>
  <c r="B6365" i="106"/>
  <c r="D6365" i="106" s="1"/>
  <c r="B6366" i="106"/>
  <c r="D6366" i="106" s="1"/>
  <c r="B6367" i="106"/>
  <c r="D6367" i="106" s="1"/>
  <c r="B6368" i="106"/>
  <c r="D6368" i="106" s="1"/>
  <c r="B6369" i="106"/>
  <c r="D6369" i="106"/>
  <c r="B6370" i="106"/>
  <c r="D6370" i="106" s="1"/>
  <c r="B6371" i="106"/>
  <c r="D6371" i="106"/>
  <c r="B6372" i="106"/>
  <c r="D6372" i="106" s="1"/>
  <c r="B6373" i="106"/>
  <c r="D6373" i="106" s="1"/>
  <c r="B6374" i="106"/>
  <c r="D6374" i="106" s="1"/>
  <c r="B6375" i="106"/>
  <c r="D6375" i="106" s="1"/>
  <c r="B6376" i="106"/>
  <c r="D6376" i="106" s="1"/>
  <c r="B6377" i="106"/>
  <c r="D6377" i="106"/>
  <c r="B6378" i="106"/>
  <c r="D6378" i="106" s="1"/>
  <c r="B6379" i="106"/>
  <c r="D6379" i="106"/>
  <c r="B6380" i="106"/>
  <c r="D6380" i="106" s="1"/>
  <c r="B6381" i="106"/>
  <c r="D6381" i="106" s="1"/>
  <c r="B6382" i="106"/>
  <c r="D6382" i="106" s="1"/>
  <c r="B6383" i="106"/>
  <c r="D6383" i="106" s="1"/>
  <c r="B6384" i="106"/>
  <c r="D6384" i="106" s="1"/>
  <c r="B6385" i="106"/>
  <c r="D6385" i="106"/>
  <c r="B6386" i="106"/>
  <c r="D6386" i="106" s="1"/>
  <c r="B6387" i="106"/>
  <c r="D6387" i="106"/>
  <c r="B6388" i="106"/>
  <c r="D6388" i="106" s="1"/>
  <c r="B6389" i="106"/>
  <c r="D6389" i="106" s="1"/>
  <c r="B6390" i="106"/>
  <c r="D6390" i="106" s="1"/>
  <c r="B6391" i="106"/>
  <c r="D6391" i="106" s="1"/>
  <c r="B6392" i="106"/>
  <c r="D6392" i="106" s="1"/>
  <c r="B6393" i="106"/>
  <c r="D6393" i="106"/>
  <c r="B6394" i="106"/>
  <c r="D6394" i="106" s="1"/>
  <c r="B6395" i="106"/>
  <c r="D6395" i="106"/>
  <c r="B6398" i="106"/>
  <c r="D6398" i="106" s="1"/>
  <c r="B6399" i="106"/>
  <c r="D6399" i="106" s="1"/>
  <c r="B6401" i="106"/>
  <c r="D6401" i="106" s="1"/>
  <c r="B6402" i="106"/>
  <c r="D6402" i="106" s="1"/>
  <c r="B6403" i="106"/>
  <c r="D6403" i="106" s="1"/>
  <c r="B6404" i="106"/>
  <c r="D6404" i="106"/>
  <c r="B6405" i="106"/>
  <c r="D6405" i="106" s="1"/>
  <c r="B6406" i="106"/>
  <c r="D6406" i="106"/>
  <c r="B6407" i="106"/>
  <c r="D6407" i="106" s="1"/>
  <c r="B6408" i="106"/>
  <c r="D6408" i="106" s="1"/>
  <c r="B6410" i="106"/>
  <c r="D6410" i="106" s="1"/>
  <c r="B6411" i="106"/>
  <c r="D6411" i="106" s="1"/>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c r="B6621" i="106"/>
  <c r="D6621" i="106" s="1"/>
  <c r="B6622" i="106"/>
  <c r="D6622" i="106"/>
  <c r="B6623" i="106"/>
  <c r="D6623" i="106" s="1"/>
  <c r="B6624" i="106"/>
  <c r="D6624" i="106" s="1"/>
  <c r="B6625" i="106"/>
  <c r="D6625" i="106" s="1"/>
  <c r="B6626" i="106"/>
  <c r="D6626" i="106" s="1"/>
  <c r="B6627" i="106"/>
  <c r="D6627" i="106" s="1"/>
  <c r="B6628" i="106"/>
  <c r="D6628" i="106"/>
  <c r="B6629" i="106"/>
  <c r="D6629" i="106" s="1"/>
  <c r="B6630" i="106"/>
  <c r="D6630" i="106"/>
  <c r="B6631" i="106"/>
  <c r="D6631" i="106" s="1"/>
  <c r="B6632" i="106"/>
  <c r="D6632" i="106" s="1"/>
  <c r="B6633" i="106"/>
  <c r="D6633" i="106" s="1"/>
  <c r="B6634" i="106"/>
  <c r="D6634" i="106" s="1"/>
  <c r="B6635" i="106"/>
  <c r="D6635" i="106" s="1"/>
  <c r="B6636" i="106"/>
  <c r="D6636" i="106"/>
  <c r="B6637" i="106"/>
  <c r="D6637" i="106" s="1"/>
  <c r="B6638" i="106"/>
  <c r="D6638" i="106"/>
  <c r="B6639" i="106"/>
  <c r="D6639" i="106" s="1"/>
  <c r="B6640" i="106"/>
  <c r="D6640" i="106" s="1"/>
  <c r="B6641" i="106"/>
  <c r="D6641" i="106" s="1"/>
  <c r="B6642" i="106"/>
  <c r="D6642" i="106" s="1"/>
  <c r="B6643" i="106"/>
  <c r="D6643" i="106" s="1"/>
  <c r="B6644" i="106"/>
  <c r="D6644" i="106"/>
  <c r="B6645" i="106"/>
  <c r="D6645" i="106" s="1"/>
  <c r="B6646" i="106"/>
  <c r="D6646" i="106"/>
  <c r="B6647" i="106"/>
  <c r="D6647" i="106" s="1"/>
  <c r="B6648" i="106"/>
  <c r="D6648" i="106" s="1"/>
  <c r="B6649" i="106"/>
  <c r="D6649" i="106" s="1"/>
  <c r="B6650" i="106"/>
  <c r="D6650" i="106" s="1"/>
  <c r="B6651" i="106"/>
  <c r="D6651" i="106" s="1"/>
  <c r="B6652" i="106"/>
  <c r="D6652" i="106"/>
  <c r="B6653" i="106"/>
  <c r="D6653" i="106" s="1"/>
  <c r="B6654" i="106"/>
  <c r="D6654" i="106"/>
  <c r="B6655" i="106"/>
  <c r="D6655" i="106" s="1"/>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9" i="7"/>
  <c r="B1767" i="106" s="1"/>
  <c r="D1767" i="106" s="1"/>
  <c r="F128" i="34"/>
  <c r="F127" i="34"/>
  <c r="B5752" i="106"/>
  <c r="D5752" i="106" s="1"/>
  <c r="B5599" i="106"/>
  <c r="D5599" i="106" s="1"/>
  <c r="H173" i="5"/>
  <c r="B5906" i="106" s="1"/>
  <c r="D5906" i="106" s="1"/>
  <c r="H109" i="5"/>
  <c r="B6025" i="106" s="1"/>
  <c r="D6025" i="106" s="1"/>
  <c r="F106" i="34"/>
  <c r="D7" i="7"/>
  <c r="B1763" i="106" s="1"/>
  <c r="D1763" i="106" s="1"/>
  <c r="D17" i="7"/>
  <c r="B4104" i="106" s="1"/>
  <c r="D4104" i="106" s="1"/>
  <c r="D12" i="7"/>
  <c r="B1769" i="106" s="1"/>
  <c r="D1769" i="106" s="1"/>
  <c r="D11" i="7"/>
  <c r="B1768" i="106" s="1"/>
  <c r="D1768" i="106" s="1"/>
  <c r="B4412" i="106" l="1"/>
  <c r="D4412" i="106" s="1"/>
  <c r="F131" i="34"/>
  <c r="B6006" i="106"/>
  <c r="D6006" i="106" s="1"/>
  <c r="K173" i="5"/>
  <c r="K6" i="4" s="1"/>
  <c r="B3570" i="106" s="1"/>
  <c r="D3570" i="106" s="1"/>
  <c r="F130" i="34"/>
  <c r="H6" i="4"/>
  <c r="B2656" i="106" s="1"/>
  <c r="D2656" i="106" s="1"/>
  <c r="C172" i="5"/>
  <c r="B5214" i="106" s="1"/>
  <c r="D5214" i="106" s="1"/>
  <c r="B5847" i="106"/>
  <c r="D5847" i="106" s="1"/>
  <c r="G172" i="5"/>
  <c r="B5513" i="106"/>
  <c r="D5513" i="106" s="1"/>
  <c r="E109" i="5"/>
  <c r="E4" i="4" s="1"/>
  <c r="B2630" i="106" s="1"/>
  <c r="D2630" i="106" s="1"/>
  <c r="D6" i="7"/>
  <c r="B1762" i="106" s="1"/>
  <c r="D1762" i="106" s="1"/>
  <c r="B1746" i="106"/>
  <c r="D1746" i="106" s="1"/>
  <c r="D15" i="7"/>
  <c r="B1772" i="106" s="1"/>
  <c r="D1772" i="106" s="1"/>
  <c r="D109" i="5"/>
  <c r="B5356" i="106" s="1"/>
  <c r="D5356" i="106" s="1"/>
  <c r="K274" i="5"/>
  <c r="F111" i="34"/>
  <c r="D13" i="7"/>
  <c r="B3726" i="106" s="1"/>
  <c r="D3726" i="106" s="1"/>
  <c r="I274" i="5"/>
  <c r="I7" i="4" s="1"/>
  <c r="B4444" i="106" s="1"/>
  <c r="D4444" i="106" s="1"/>
  <c r="I342" i="29"/>
  <c r="B7222" i="106" s="1"/>
  <c r="D7222" i="106" s="1"/>
  <c r="L312" i="29"/>
  <c r="B7235" i="106"/>
  <c r="D7235" i="106" s="1"/>
  <c r="C342" i="29"/>
  <c r="B7216" i="106" s="1"/>
  <c r="D7216" i="106" s="1"/>
  <c r="J41" i="3"/>
  <c r="B3621" i="106"/>
  <c r="D3621" i="106" s="1"/>
  <c r="C367" i="29"/>
  <c r="K76" i="4"/>
  <c r="B3586" i="106" s="1"/>
  <c r="D3586" i="106" s="1"/>
  <c r="F19" i="7"/>
  <c r="B1807" i="106" s="1"/>
  <c r="D1807" i="106" s="1"/>
  <c r="F77" i="4"/>
  <c r="B3255" i="106" s="1"/>
  <c r="D3255" i="106" s="1"/>
  <c r="B1274" i="106"/>
  <c r="D1274" i="106" s="1"/>
  <c r="I24" i="12"/>
  <c r="B1124" i="106"/>
  <c r="D1124" i="106" s="1"/>
  <c r="G210" i="29"/>
  <c r="E174" i="29"/>
  <c r="B1309" i="106" s="1"/>
  <c r="D1309" i="106" s="1"/>
  <c r="L15" i="11"/>
  <c r="B3459" i="106" s="1"/>
  <c r="D3459" i="106" s="1"/>
  <c r="L13" i="11"/>
  <c r="B2060" i="106" s="1"/>
  <c r="D2060" i="106" s="1"/>
  <c r="B3449" i="106"/>
  <c r="D3449" i="106" s="1"/>
  <c r="K350" i="29"/>
  <c r="G352" i="29"/>
  <c r="H4" i="4"/>
  <c r="B2655" i="106" s="1"/>
  <c r="D2655" i="106" s="1"/>
  <c r="B1410" i="106"/>
  <c r="D1410" i="106" s="1"/>
  <c r="G109" i="5"/>
  <c r="K184" i="29"/>
  <c r="F13" i="4" s="1"/>
  <c r="B2596" i="106" s="1"/>
  <c r="D2596" i="106" s="1"/>
  <c r="B1329" i="106"/>
  <c r="D1329" i="106" s="1"/>
  <c r="F61" i="34"/>
  <c r="D4" i="4"/>
  <c r="B2564" i="106" s="1"/>
  <c r="D2564" i="106" s="1"/>
  <c r="B5096" i="106"/>
  <c r="D5096" i="106" s="1"/>
  <c r="C109" i="5"/>
  <c r="B5121" i="106" s="1"/>
  <c r="D5121" i="106" s="1"/>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4435" i="106" l="1"/>
  <c r="D4435" i="106" s="1"/>
  <c r="C173" i="5"/>
  <c r="B5223" i="106" s="1"/>
  <c r="D5223" i="106" s="1"/>
  <c r="D7253" i="106"/>
  <c r="B1365" i="106"/>
  <c r="D1365" i="106" s="1"/>
  <c r="F65" i="34"/>
  <c r="B1996" i="106"/>
  <c r="D1996" i="106" s="1"/>
  <c r="I26" i="12"/>
  <c r="B7741" i="106" s="1"/>
  <c r="D7741" i="106" s="1"/>
  <c r="K77" i="4"/>
  <c r="B3587" i="106" s="1"/>
  <c r="D3587" i="106" s="1"/>
  <c r="D7254" i="106"/>
  <c r="D7250" i="106"/>
  <c r="B5527" i="106"/>
  <c r="D5527" i="106" s="1"/>
  <c r="F275" i="5"/>
  <c r="H367" i="29"/>
  <c r="B3660" i="106" s="1"/>
  <c r="D3660" i="106" s="1"/>
  <c r="G173" i="5"/>
  <c r="B5770" i="106"/>
  <c r="D5770" i="106" s="1"/>
  <c r="L16" i="11"/>
  <c r="B2061" i="106" s="1"/>
  <c r="D2061" i="106" s="1"/>
  <c r="D19" i="7"/>
  <c r="B1775" i="106" s="1"/>
  <c r="D1775" i="106" s="1"/>
  <c r="B3670" i="106"/>
  <c r="D3670" i="106" s="1"/>
  <c r="K352" i="29"/>
  <c r="K367" i="29" s="1"/>
  <c r="B3649" i="106"/>
  <c r="D3649" i="106" s="1"/>
  <c r="G367" i="29"/>
  <c r="B3650" i="106" s="1"/>
  <c r="D3650" i="106" s="1"/>
  <c r="K342" i="29"/>
  <c r="F13" i="34" s="1"/>
  <c r="B6024" i="106"/>
  <c r="D6024" i="106" s="1"/>
  <c r="G4" i="4"/>
  <c r="B2603" i="106" s="1"/>
  <c r="D2603" i="106" s="1"/>
  <c r="B1317" i="106"/>
  <c r="D1317" i="106" s="1"/>
  <c r="C114" i="29"/>
  <c r="B757" i="106" s="1"/>
  <c r="D757" i="106" s="1"/>
  <c r="C6" i="4"/>
  <c r="B2553" i="106" s="1"/>
  <c r="D2553" i="106" s="1"/>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J8" i="4" l="1"/>
  <c r="B5778" i="106"/>
  <c r="D5778" i="106" s="1"/>
  <c r="G6" i="4"/>
  <c r="B2604" i="106" s="1"/>
  <c r="D2604" i="106" s="1"/>
  <c r="K13" i="4"/>
  <c r="B3572" i="106" s="1"/>
  <c r="D3572" i="106" s="1"/>
  <c r="B3672" i="106"/>
  <c r="D3672" i="106" s="1"/>
  <c r="B7224" i="106"/>
  <c r="D7224" i="106" s="1"/>
  <c r="J17" i="4"/>
  <c r="J19" i="4" s="1"/>
  <c r="B6229" i="106" s="1"/>
  <c r="D6229" i="106" s="1"/>
  <c r="F8" i="4"/>
  <c r="D8" i="14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6227" i="106" l="1"/>
  <c r="D6227"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<sst xmlns="http://schemas.openxmlformats.org/spreadsheetml/2006/main" count="5075" uniqueCount="2137">
  <si>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</si>
  <si>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</si>
  <si>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</si>
  <si>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</si>
  <si>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</si>
  <si>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</si>
  <si>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</si>
  <si>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</si>
  <si>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</si>
  <si>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</si>
  <si>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</si>
  <si>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</si>
  <si>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</si>
  <si>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</si>
  <si>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</si>
  <si>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</si>
  <si>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</si>
  <si>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</si>
  <si>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</si>
  <si>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</si>
  <si>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</si>
  <si>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</si>
  <si>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</si>
  <si>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</si>
  <si>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</si>
  <si>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</si>
  <si>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</si>
  <si>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</si>
  <si>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</si>
  <si>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</si>
  <si>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</si>
  <si>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</si>
  <si>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</si>
  <si>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</si>
  <si>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</si>
  <si>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</si>
  <si>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</si>
  <si>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</si>
  <si>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</si>
  <si>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</si>
  <si>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</si>
  <si>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</si>
  <si>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</si>
  <si>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</si>
  <si>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</si>
  <si>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</si>
  <si>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</si>
  <si>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</si>
  <si>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</si>
  <si>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</si>
  <si>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</si>
  <si>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</si>
  <si>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</si>
  <si>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</si>
  <si>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</si>
  <si>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</si>
  <si>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</si>
  <si>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</si>
  <si>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</si>
  <si>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</si>
  <si>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</si>
  <si>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</si>
  <si>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</si>
  <si>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</si>
  <si>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</si>
  <si>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</si>
  <si>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</si>
  <si>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</si>
  <si>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</si>
  <si>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</si>
  <si>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</si>
  <si>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</si>
  <si>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</si>
  <si>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</si>
  <si>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</si>
  <si>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</si>
  <si>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</si>
  <si>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</si>
  <si>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</si>
  <si>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</si>
  <si>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</si>
  <si>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</si>
  <si>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</si>
  <si>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</si>
  <si>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</si>
  <si>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</si>
  <si>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</si>
  <si>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</si>
  <si>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</si>
  <si>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</si>
  <si>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</si>
  <si>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</si>
  <si>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</si>
  <si>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</si>
  <si>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</si>
  <si>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</si>
  <si>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</si>
  <si>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</si>
  <si>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</si>
  <si>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</si>
  <si>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</si>
  <si>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</si>
  <si>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</si>
  <si>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</si>
  <si>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</si>
  <si>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</si>
  <si>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</si>
  <si>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</si>
  <si>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</si>
  <si>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</si>
  <si>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</si>
  <si>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</si>
  <si>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</si>
  <si>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</si>
  <si>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</si>
  <si>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</si>
  <si>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</si>
  <si>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</si>
  <si>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</si>
  <si>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</si>
  <si>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</si>
  <si>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</si>
  <si>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</si>
  <si>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</si>
  <si>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</si>
  <si>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</si>
  <si>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</si>
  <si>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</si>
  <si>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</si>
  <si>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</si>
  <si>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</si>
  <si>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</si>
  <si>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</si>
  <si>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</si>
  <si>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</si>
  <si>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</si>
  <si>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</si>
  <si>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</si>
  <si>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</si>
  <si>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</si>
  <si>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</si>
  <si>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</si>
  <si>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</si>
  <si>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</si>
  <si>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</si>
  <si>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</si>
  <si>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</si>
  <si>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</si>
  <si>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</si>
  <si>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</si>
  <si>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</si>
  <si>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</si>
  <si>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</si>
  <si>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</si>
  <si>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</si>
  <si>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</si>
  <si>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</si>
  <si>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</si>
  <si>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</si>
  <si>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</si>
  <si>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</si>
  <si>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</si>
  <si>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</si>
  <si>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</si>
  <si>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</si>
  <si>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</si>
  <si>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</si>
  <si>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</si>
  <si>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</si>
  <si>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</si>
  <si>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</si>
  <si>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</si>
  <si>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</si>
  <si>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</si>
  <si>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</si>
  <si>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</si>
  <si>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</si>
  <si>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</si>
  <si>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</si>
  <si>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</si>
  <si>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</si>
  <si>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</si>
  <si>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</si>
  <si>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</si>
  <si>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</si>
  <si>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</si>
  <si>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</si>
  <si>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</si>
  <si>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</si>
  <si>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</si>
  <si>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</si>
  <si>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</si>
  <si>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</si>
  <si>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</si>
  <si>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</si>
  <si>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</si>
  <si>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</si>
  <si>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</si>
  <si>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</si>
  <si>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</si>
  <si>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</si>
  <si>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</si>
  <si>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</si>
  <si>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</si>
  <si>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</si>
  <si>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</si>
  <si>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</si>
  <si>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</si>
  <si>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</si>
  <si>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</si>
  <si>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</si>
  <si>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</si>
  <si>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</si>
  <si>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</si>
  <si>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</si>
  <si>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</si>
  <si>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</si>
  <si>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</si>
  <si>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</si>
  <si>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</si>
  <si>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</si>
  <si>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</si>
  <si>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</si>
  <si>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</si>
  <si>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</si>
  <si>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</si>
  <si>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</si>
  <si>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</si>
  <si>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</si>
  <si>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</si>
  <si>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</si>
  <si>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</si>
  <si>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</si>
  <si>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</si>
  <si>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</si>
  <si>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</si>
  <si>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</si>
  <si>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</si>
  <si>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</si>
  <si>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</si>
  <si>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</si>
  <si>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</si>
  <si>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</si>
  <si>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</si>
  <si>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</si>
  <si>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</si>
  <si>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</si>
  <si>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</si>
  <si>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</si>
  <si>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</si>
  <si>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</si>
  <si>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</si>
  <si>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</si>
  <si>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</si>
  <si>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</si>
  <si>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</si>
  <si>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</si>
  <si>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</si>
  <si>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</si>
  <si>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</si>
  <si>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</si>
  <si>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</si>
  <si>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</si>
  <si>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</si>
  <si>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</si>
  <si>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</si>
  <si>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</si>
  <si>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</si>
  <si>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</si>
  <si>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</si>
  <si>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</si>
  <si>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</si>
  <si>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</si>
  <si>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</si>
  <si>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</si>
  <si>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</si>
  <si>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</si>
  <si>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</si>
  <si>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</si>
  <si>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</si>
  <si>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</si>
  <si>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</si>
  <si>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</si>
  <si>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</si>
  <si>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</si>
  <si>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</si>
  <si>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</si>
  <si>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</si>
  <si>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</si>
  <si>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</si>
  <si>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</si>
  <si>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</si>
  <si>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</si>
  <si>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</si>
  <si>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</si>
  <si>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</si>
  <si>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</si>
  <si>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</si>
  <si>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</si>
  <si>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</si>
  <si>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</si>
  <si>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</si>
  <si>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</si>
  <si>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</si>
  <si>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</si>
  <si>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</si>
  <si>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</si>
  <si>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</si>
  <si>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</si>
  <si>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</si>
  <si>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</si>
  <si>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</si>
  <si>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</si>
  <si>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</si>
  <si>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</si>
  <si>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</si>
  <si>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</si>
  <si>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</si>
  <si>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</si>
  <si>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</si>
  <si>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</si>
  <si>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</si>
  <si>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</si>
  <si>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</si>
  <si>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</si>
  <si>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</si>
  <si>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</si>
  <si>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</si>
  <si>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</si>
  <si>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</si>
  <si>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</si>
  <si>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</si>
  <si>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</si>
  <si>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</si>
  <si>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</si>
  <si>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</si>
  <si>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</si>
  <si>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</si>
  <si>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</si>
  <si>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</si>
  <si>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</si>
  <si>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</si>
  <si>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</si>
  <si>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</si>
  <si>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</si>
  <si>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</si>
  <si>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</si>
  <si>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</si>
  <si>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</si>
  <si>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</si>
  <si>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</si>
  <si>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</si>
  <si>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</si>
  <si>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</si>
  <si>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</si>
  <si>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</si>
  <si>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</si>
  <si>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</si>
  <si>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</si>
  <si>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</si>
  <si>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</si>
  <si>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</si>
  <si>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</si>
  <si>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</si>
  <si>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</si>
  <si>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</si>
  <si>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</si>
  <si>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</si>
  <si>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</si>
  <si>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</si>
  <si>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</si>
  <si>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</si>
  <si>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</si>
  <si>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</si>
  <si>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</si>
  <si>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</si>
  <si>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</si>
  <si>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</si>
  <si>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</si>
  <si>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</si>
  <si>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</si>
  <si>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</si>
  <si>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</si>
  <si>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</si>
  <si>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</si>
  <si>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</si>
  <si>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</si>
  <si>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</si>
  <si>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</si>
  <si>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</si>
  <si>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</si>
  <si>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</si>
  <si>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</si>
  <si>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</si>
  <si>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</si>
  <si>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</si>
  <si>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</si>
  <si>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</si>
  <si>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</si>
  <si>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</si>
  <si>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</si>
  <si>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</si>
  <si>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</si>
  <si>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</si>
  <si>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</si>
  <si>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</si>
  <si>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</si>
  <si>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</si>
  <si>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</si>
  <si>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</si>
  <si>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</si>
  <si>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</si>
  <si>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</si>
  <si>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</si>
  <si>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</si>
  <si>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</si>
  <si>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</si>
  <si>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</si>
  <si>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</si>
  <si>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</si>
  <si>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</si>
  <si>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</si>
  <si>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</si>
  <si>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</si>
  <si>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</si>
  <si>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</si>
  <si>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</si>
  <si>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</si>
  <si>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</si>
  <si>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</si>
  <si>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</si>
  <si>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</si>
  <si>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</si>
  <si>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</si>
  <si>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</si>
  <si>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</si>
  <si>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</si>
  <si>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</si>
  <si>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</si>
  <si>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</si>
  <si>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</si>
  <si>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</si>
  <si>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</si>
  <si>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</si>
  <si>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</si>
  <si>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</si>
  <si>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</si>
  <si>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</si>
  <si>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</si>
  <si>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</si>
  <si>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</si>
  <si>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</si>
  <si>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</si>
  <si>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</si>
  <si>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</si>
  <si>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</si>
  <si>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</si>
  <si>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</si>
  <si>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</si>
  <si>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</si>
  <si>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</si>
  <si>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</si>
  <si>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</si>
  <si>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</si>
  <si>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</si>
  <si>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</si>
  <si>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</si>
  <si>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</si>
  <si>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</si>
  <si>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</si>
  <si>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</si>
  <si>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</si>
  <si>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</si>
  <si>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</si>
  <si>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</si>
  <si>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</si>
  <si>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</si>
  <si>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</si>
  <si>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</si>
  <si>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</si>
  <si>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</si>
  <si>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</si>
  <si>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</si>
  <si>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</si>
  <si>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</si>
  <si>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</si>
  <si>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</si>
  <si>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</si>
  <si>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</si>
  <si>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</si>
  <si>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</si>
  <si>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</si>
  <si>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</si>
  <si>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</si>
  <si>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</si>
  <si>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</si>
  <si>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</si>
  <si>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</si>
  <si>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</si>
  <si>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</si>
  <si>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</si>
  <si>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</si>
  <si>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</si>
  <si>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</si>
  <si>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</si>
  <si>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</si>
  <si>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</si>
  <si>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</si>
  <si>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</si>
  <si>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</si>
  <si>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</si>
  <si>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</si>
  <si>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</si>
  <si>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</si>
  <si>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</si>
  <si>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</si>
  <si>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</si>
  <si>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</si>
  <si>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</si>
  <si>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</si>
  <si>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</si>
  <si>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</si>
  <si>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</si>
  <si>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</si>
  <si>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</si>
  <si>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</si>
  <si>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</si>
  <si>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</si>
  <si>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</si>
  <si>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</si>
  <si>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</si>
  <si>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</si>
  <si>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</si>
  <si>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</si>
  <si>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</si>
  <si>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</si>
  <si>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</si>
  <si>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</si>
  <si>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</si>
  <si>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</si>
  <si>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</si>
  <si>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</si>
  <si>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</si>
  <si>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</si>
  <si>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</si>
  <si>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</si>
  <si>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</si>
  <si>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</si>
  <si>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</si>
  <si>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</si>
  <si>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</si>
  <si>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</si>
  <si>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</si>
  <si>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</si>
  <si>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</si>
  <si>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</si>
  <si>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</si>
  <si>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</si>
  <si>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</si>
  <si>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</si>
  <si>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</si>
  <si>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</si>
  <si>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</si>
  <si>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</si>
  <si>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</si>
  <si>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</si>
  <si>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</si>
  <si>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</si>
  <si>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</si>
  <si>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</si>
  <si>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</si>
  <si>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</si>
  <si>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</si>
  <si>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</si>
  <si>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</si>
  <si>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</si>
  <si>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</si>
  <si>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</si>
  <si>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</si>
  <si>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</si>
  <si>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</si>
  <si>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</si>
  <si>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</si>
  <si>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</si>
  <si>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</si>
  <si>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</si>
  <si>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</si>
  <si>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</si>
  <si>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</si>
  <si>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</si>
  <si>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</si>
  <si>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</si>
  <si>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</si>
  <si>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</si>
  <si>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</si>
  <si>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</si>
  <si>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</si>
  <si>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</si>
  <si>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</si>
  <si>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</si>
  <si>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</si>
  <si>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</si>
  <si>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</si>
  <si>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</si>
  <si>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</si>
  <si>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</si>
  <si>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</si>
  <si>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</si>
  <si>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</si>
  <si>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</si>
  <si>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</si>
  <si>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</si>
  <si>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</si>
  <si>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</si>
  <si>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</si>
  <si>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</si>
  <si>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</si>
  <si>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</si>
  <si>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</si>
  <si>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</si>
  <si>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</si>
  <si>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</si>
  <si>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</si>
  <si>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</si>
  <si>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</si>
  <si>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</si>
  <si>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</si>
  <si>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</si>
  <si>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</si>
  <si>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</si>
  <si>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</si>
  <si>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</si>
  <si>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</si>
  <si>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</si>
  <si>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</si>
  <si>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</si>
  <si>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</si>
  <si>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</si>
  <si>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</si>
  <si>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</si>
  <si>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</si>
  <si>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</si>
  <si>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</si>
  <si>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</si>
  <si>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</si>
  <si>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</si>
  <si>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</si>
  <si>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</si>
  <si>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</si>
  <si>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</si>
  <si>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</si>
  <si>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</si>
  <si>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</si>
  <si>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</si>
  <si>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</si>
  <si>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</si>
  <si>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</si>
  <si>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</si>
  <si>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</si>
  <si>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</si>
  <si>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</si>
  <si>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</si>
  <si>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</si>
  <si>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</si>
  <si>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</si>
  <si>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</si>
  <si>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</si>
  <si>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</si>
  <si>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</si>
  <si>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</si>
  <si>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</si>
  <si>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</si>
  <si>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</si>
  <si>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</si>
  <si>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</si>
  <si>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</si>
  <si>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</si>
  <si>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</si>
  <si>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</si>
  <si>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</si>
  <si>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</si>
  <si>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</si>
  <si>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</si>
  <si>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</si>
  <si>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</si>
  <si>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</si>
  <si>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</si>
  <si>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</si>
  <si>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</si>
  <si>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</si>
  <si>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</si>
  <si>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</si>
  <si>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</si>
  <si>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</si>
  <si>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</si>
  <si>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</si>
  <si>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</si>
  <si>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</si>
  <si>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</si>
  <si>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</si>
  <si>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</si>
  <si>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</si>
  <si>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</si>
  <si>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</si>
  <si>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</si>
  <si>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</si>
  <si>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</si>
  <si>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</si>
  <si>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</si>
  <si>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</si>
  <si>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</si>
  <si>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</si>
  <si>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</si>
  <si>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</si>
  <si>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</si>
  <si>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</si>
  <si>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</si>
  <si>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</si>
  <si>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</si>
  <si>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</si>
  <si>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</si>
  <si>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</si>
  <si>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</si>
  <si>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</si>
  <si>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</si>
  <si>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</si>
  <si>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</si>
  <si>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</si>
  <si>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</si>
  <si>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</si>
  <si>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</si>
  <si>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</si>
  <si>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</si>
  <si>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</si>
  <si>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</si>
  <si>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</si>
  <si>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</si>
  <si>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</si>
  <si>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</si>
  <si>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</si>
  <si>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</si>
  <si>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</si>
  <si>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</si>
  <si>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</si>
  <si>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</si>
  <si>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</si>
  <si>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</si>
  <si>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</si>
  <si>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</si>
  <si>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</si>
  <si>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</si>
  <si>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</si>
  <si>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</si>
  <si>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</si>
  <si>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</si>
  <si>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</si>
  <si>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</si>
  <si>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</si>
  <si>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</si>
  <si>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</si>
  <si>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</si>
  <si>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</si>
  <si>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</si>
  <si>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</si>
  <si>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</si>
  <si>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</si>
  <si>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</si>
  <si>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</si>
  <si>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</si>
  <si>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</si>
  <si>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</si>
  <si>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</si>
  <si>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</si>
  <si>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</si>
  <si>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</si>
  <si>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</si>
  <si>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</si>
  <si>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</si>
  <si>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</si>
  <si>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</si>
  <si>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</si>
  <si>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</si>
  <si>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</si>
  <si>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</si>
  <si>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</si>
  <si>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</si>
  <si>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</si>
  <si>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</si>
  <si>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</si>
  <si>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</si>
  <si>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</si>
  <si>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</si>
  <si>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</si>
  <si>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</si>
  <si>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</si>
  <si>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</si>
  <si>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</si>
  <si>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</si>
  <si>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</si>
  <si>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</si>
  <si>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</si>
  <si>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</si>
  <si>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</si>
  <si>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</si>
  <si>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</si>
  <si>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</si>
  <si>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</si>
  <si>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</si>
  <si>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</si>
  <si>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</si>
  <si>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</si>
  <si>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</si>
  <si>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</si>
  <si>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</si>
  <si>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</si>
  <si>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</si>
  <si>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</si>
  <si>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</si>
  <si>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</si>
  <si>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</si>
  <si>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</si>
  <si>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</si>
  <si>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</si>
  <si>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</si>
  <si>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</si>
  <si>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</si>
  <si>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</si>
  <si>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</si>
  <si>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</si>
  <si>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</si>
  <si>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</si>
  <si>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</si>
  <si>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</si>
  <si>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</si>
  <si>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</si>
  <si>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</si>
  <si>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</si>
  <si>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</si>
  <si>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</si>
  <si>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</si>
  <si>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</si>
  <si>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</si>
  <si>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</si>
  <si>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</si>
  <si>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</si>
  <si>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</si>
  <si>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</si>
  <si>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</si>
  <si>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</si>
  <si>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</si>
  <si>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</si>
  <si>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</si>
  <si>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</si>
  <si>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</si>
  <si>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</si>
  <si>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</si>
  <si>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</si>
  <si>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</si>
  <si>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</si>
  <si>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</si>
  <si>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</si>
  <si>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</si>
  <si>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</si>
  <si>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</si>
  <si>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</si>
  <si>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</si>
  <si>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</si>
  <si>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</si>
  <si>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</si>
  <si>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</si>
  <si>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</si>
  <si>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</si>
  <si>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</si>
  <si>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</si>
  <si>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</si>
  <si>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</si>
  <si>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</si>
  <si>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</si>
  <si>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</si>
  <si>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</si>
  <si>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</si>
  <si>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</si>
  <si>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</si>
  <si>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</si>
  <si>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</si>
  <si>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</si>
  <si>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</si>
  <si>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</si>
  <si>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</si>
  <si>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</si>
  <si>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</si>
  <si>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</si>
  <si>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</si>
  <si>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</si>
  <si>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</si>
  <si>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</si>
  <si>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</si>
  <si>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</si>
  <si>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</si>
  <si>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</si>
  <si>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</si>
  <si>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</si>
  <si>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</si>
  <si>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</si>
  <si>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</si>
  <si>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</si>
  <si>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</si>
  <si>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</si>
  <si>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</si>
  <si>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</si>
  <si>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</si>
  <si>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</si>
  <si>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</si>
  <si>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</si>
  <si>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</si>
  <si>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</si>
  <si>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</si>
  <si>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</si>
  <si>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</si>
  <si>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</si>
  <si>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</si>
  <si>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</si>
  <si>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</si>
  <si>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</si>
  <si>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</si>
  <si>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</si>
  <si>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</si>
  <si>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</si>
  <si>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</si>
  <si>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</si>
  <si>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</si>
  <si>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</si>
  <si>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</si>
  <si>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</si>
  <si>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</si>
  <si>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</si>
  <si>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</si>
  <si>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</si>
  <si>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</si>
  <si>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</si>
  <si>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</si>
  <si>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</si>
  <si>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</si>
  <si>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</si>
  <si>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</si>
  <si>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</si>
  <si>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</si>
  <si>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</si>
  <si>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</si>
  <si>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</si>
  <si>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</si>
  <si>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</si>
  <si>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</si>
  <si>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</si>
  <si>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</si>
  <si>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</si>
  <si>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</si>
  <si>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</si>
  <si>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</si>
  <si>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</si>
  <si>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</si>
  <si>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</si>
  <si>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</si>
  <si>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</si>
  <si>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</si>
  <si>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</si>
  <si>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</si>
  <si>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</si>
  <si>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</si>
  <si>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</si>
  <si>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</si>
  <si>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</si>
  <si>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</si>
  <si>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</si>
  <si>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</si>
  <si>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</si>
  <si>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</si>
  <si>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</si>
  <si>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</si>
  <si>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</si>
  <si>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</si>
  <si>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</si>
  <si>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</si>
  <si>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</si>
  <si>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</si>
  <si>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</si>
  <si>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</si>
  <si>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</si>
  <si>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</si>
  <si>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</si>
  <si>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</si>
  <si>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</si>
  <si>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</si>
  <si>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</si>
  <si>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</si>
  <si>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</si>
  <si>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</si>
  <si>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</si>
  <si>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</si>
  <si>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</si>
  <si>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</si>
  <si>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</si>
  <si>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</si>
  <si>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</si>
  <si>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</si>
  <si>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</si>
  <si>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</si>
  <si>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</si>
  <si>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</si>
  <si>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</si>
  <si>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</si>
  <si>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</si>
  <si>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</si>
  <si>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</si>
  <si>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</si>
  <si>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</si>
  <si>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</si>
  <si>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</si>
  <si>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</si>
  <si>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</si>
  <si>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</si>
  <si>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</si>
  <si>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</si>
  <si>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</si>
  <si>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</si>
  <si>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</si>
  <si>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</si>
  <si>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</si>
  <si>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</si>
  <si>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</si>
  <si>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</si>
  <si>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</si>
  <si>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</si>
  <si>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</si>
  <si>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</si>
  <si>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</si>
  <si>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</si>
  <si>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</si>
  <si>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</si>
  <si>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</si>
  <si>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</si>
  <si>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</si>
  <si>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</si>
  <si>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</si>
  <si>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</si>
  <si>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</si>
  <si>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</si>
  <si>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</si>
  <si>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</si>
  <si>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</si>
  <si>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</si>
  <si>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</si>
  <si>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</si>
  <si>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</si>
  <si>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</si>
  <si>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</si>
  <si>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</si>
  <si>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</si>
  <si>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</si>
  <si>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</si>
  <si>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</si>
  <si>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</si>
  <si>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</si>
  <si>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</si>
  <si>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</si>
  <si>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</si>
  <si>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</si>
  <si>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</si>
  <si>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</si>
  <si>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</si>
  <si>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</si>
  <si>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</si>
  <si>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</si>
  <si>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</si>
  <si>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</si>
  <si>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</si>
  <si>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</si>
  <si>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</si>
  <si>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</si>
  <si>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</si>
  <si>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</si>
  <si>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</si>
  <si>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</si>
  <si>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</si>
  <si>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</si>
  <si>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</si>
  <si>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</si>
  <si>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</si>
  <si>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</si>
  <si>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</si>
  <si>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</si>
  <si>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</si>
  <si>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</si>
  <si>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</si>
  <si>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</si>
  <si>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</si>
  <si>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</si>
  <si>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</si>
  <si>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</si>
  <si>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</si>
  <si>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</si>
  <si>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</si>
  <si>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</si>
  <si>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</si>
  <si>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</si>
  <si>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</si>
  <si>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</si>
  <si>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</si>
  <si>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</si>
  <si>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</si>
  <si>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</si>
  <si>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</si>
  <si>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</si>
  <si>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</si>
  <si>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</si>
  <si>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</si>
  <si>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</si>
  <si>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</si>
  <si>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</si>
  <si>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</si>
  <si>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</si>
  <si>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</si>
  <si>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</si>
  <si>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</si>
  <si>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</si>
  <si>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</si>
  <si>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</si>
  <si>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</si>
  <si>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</si>
  <si>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</si>
  <si>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</si>
  <si>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</si>
  <si>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</si>
  <si>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</si>
  <si>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</si>
  <si>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</si>
  <si>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</si>
  <si>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</si>
  <si>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</si>
  <si>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</si>
  <si>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</si>
  <si>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</si>
  <si>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</si>
  <si>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</si>
  <si>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</si>
  <si>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</si>
  <si>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</si>
  <si>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</si>
  <si>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</si>
  <si>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</si>
  <si>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</si>
  <si>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</si>
  <si>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</si>
  <si>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</si>
  <si>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</si>
  <si>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</si>
  <si>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</si>
  <si>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</si>
  <si>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</si>
  <si>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</si>
  <si>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</si>
  <si>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</si>
  <si>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</si>
  <si>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</si>
  <si>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</si>
  <si>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</si>
  <si>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</si>
  <si>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</si>
  <si>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</si>
  <si>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</si>
  <si>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</si>
  <si>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</si>
  <si>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</si>
  <si>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</si>
  <si>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</si>
  <si>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</si>
  <si>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</si>
  <si>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</si>
  <si>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</si>
  <si>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</si>
  <si>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</si>
  <si>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</si>
  <si>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</si>
  <si>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</si>
  <si>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</si>
  <si>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</si>
  <si>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</si>
  <si>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</si>
  <si>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</si>
  <si>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</si>
  <si>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</si>
  <si>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</si>
  <si>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</si>
  <si>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</si>
  <si>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</si>
  <si>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</si>
  <si>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</si>
  <si>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</si>
  <si>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</si>
  <si>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</si>
  <si>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</si>
  <si>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</si>
  <si>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</si>
  <si>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</si>
  <si>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</si>
  <si>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</si>
  <si>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</si>
  <si>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</si>
  <si>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</si>
  <si>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</si>
  <si>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</si>
  <si>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</si>
  <si>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</si>
  <si>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</si>
  <si>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</si>
  <si>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</si>
  <si>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</si>
  <si>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</si>
  <si>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</si>
  <si>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</si>
  <si>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</si>
  <si>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</si>
  <si>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</si>
  <si>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</si>
  <si>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</si>
  <si>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</si>
  <si>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</si>
  <si>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</si>
  <si>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</si>
  <si>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</si>
  <si>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</si>
  <si>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</si>
  <si>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</si>
  <si>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</si>
  <si>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</si>
  <si>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</si>
  <si>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</si>
  <si>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</si>
  <si>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</si>
  <si>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</si>
  <si>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</si>
  <si>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</si>
  <si>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</si>
  <si>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</si>
  <si>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</si>
  <si>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</si>
  <si>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</si>
  <si>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</si>
  <si>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</si>
  <si>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</si>
  <si>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</si>
  <si>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</si>
  <si>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</si>
  <si>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</si>
  <si>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</si>
  <si>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</si>
  <si>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</si>
  <si>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</si>
  <si>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</si>
  <si>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</si>
  <si>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</si>
  <si>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</si>
  <si>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</si>
  <si>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</si>
  <si>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</si>
  <si>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</si>
  <si>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</si>
  <si>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</si>
  <si>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</si>
  <si>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</si>
  <si>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</si>
  <si>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</si>
  <si>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</si>
  <si>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</si>
  <si>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</si>
  <si>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</si>
  <si>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</si>
  <si>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</si>
  <si>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</si>
  <si>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</si>
  <si>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</si>
  <si>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</si>
  <si>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</si>
  <si>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</si>
  <si>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</si>
  <si>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</si>
  <si>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</si>
  <si>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</si>
  <si>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</si>
  <si>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</si>
  <si>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</si>
  <si>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</si>
  <si>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</si>
  <si>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</si>
  <si>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</si>
  <si>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</si>
  <si>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</si>
  <si>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</si>
  <si>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</si>
  <si>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</si>
  <si>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</si>
  <si>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</si>
  <si>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</si>
  <si>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</si>
  <si>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</si>
  <si>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</si>
  <si>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</si>
  <si>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</si>
  <si>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</si>
  <si>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</si>
  <si>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</si>
  <si>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</si>
  <si>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</si>
  <si>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</si>
  <si>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</si>
  <si>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</si>
  <si>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</si>
  <si>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</si>
  <si>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</si>
  <si>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</si>
  <si>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</si>
  <si>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</si>
  <si>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</si>
  <si>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</si>
  <si>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</si>
  <si>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</si>
  <si>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</si>
  <si>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</si>
  <si>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</si>
  <si>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</si>
  <si>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</si>
  <si>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</si>
  <si>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</si>
  <si>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</si>
  <si>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</si>
  <si>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</si>
  <si>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</si>
  <si>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</si>
  <si>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</si>
  <si>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</si>
  <si>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</si>
  <si>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</si>
  <si>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</si>
  <si>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</si>
  <si>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</si>
  <si>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</si>
  <si>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</si>
  <si>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</si>
  <si>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</si>
  <si>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</si>
  <si>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</si>
  <si>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</si>
  <si>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</si>
  <si>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</si>
  <si>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</si>
  <si>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</si>
  <si>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</si>
  <si>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</si>
  <si>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</si>
  <si>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</si>
  <si>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</si>
  <si>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</si>
  <si>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</si>
  <si>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</si>
  <si>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</si>
  <si>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</si>
  <si>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</si>
  <si>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</si>
  <si>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</si>
  <si>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</si>
  <si>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</si>
  <si>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</si>
  <si>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</si>
  <si>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</si>
  <si>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</si>
  <si>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</si>
  <si>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</si>
  <si>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</si>
  <si>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</si>
  <si>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</si>
  <si>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</si>
  <si>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</si>
  <si>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</si>
  <si>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</si>
  <si>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</si>
  <si>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</si>
  <si>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</si>
  <si>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</si>
  <si>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</si>
  <si>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</si>
  <si>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</si>
  <si>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</si>
  <si>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</si>
  <si>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</si>
  <si>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</si>
  <si>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</si>
  <si>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</si>
  <si>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</si>
  <si>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</si>
  <si>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</si>
  <si>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</si>
  <si>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</si>
  <si>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</si>
  <si>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</si>
  <si>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</si>
  <si>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</si>
  <si>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</si>
  <si>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</si>
  <si>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</si>
  <si>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</si>
  <si>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</si>
  <si>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</si>
  <si>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</si>
  <si>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</si>
  <si>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</si>
  <si>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</si>
  <si>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</si>
  <si>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</si>
  <si>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</si>
  <si>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</si>
  <si>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</si>
  <si>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</si>
  <si>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</si>
  <si>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</si>
  <si>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</si>
  <si>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</si>
  <si>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</si>
  <si>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</si>
  <si>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</si>
  <si>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</si>
  <si>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</si>
  <si>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</si>
  <si>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</si>
  <si>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</si>
  <si>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</si>
  <si>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</si>
  <si>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</si>
  <si>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</si>
  <si>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</si>
  <si>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</si>
  <si>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</si>
  <si>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</si>
  <si>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</si>
  <si>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</si>
  <si>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</si>
  <si>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</si>
  <si>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</si>
  <si>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</si>
  <si>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</si>
  <si>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</si>
  <si>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</si>
  <si>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</si>
  <si>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</si>
  <si>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</si>
  <si>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</si>
  <si>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</si>
  <si>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</si>
  <si>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</si>
  <si>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</si>
  <si>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</si>
  <si>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</si>
  <si>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</si>
  <si>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</si>
  <si>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</si>
  <si>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</si>
  <si>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</si>
  <si>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</si>
  <si>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</si>
  <si>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</si>
  <si>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</si>
  <si>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</si>
  <si>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</si>
  <si>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</si>
  <si>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</si>
  <si>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</si>
  <si>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</si>
  <si>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</si>
  <si>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</si>
  <si>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</si>
  <si>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</si>
  <si>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</si>
  <si>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</si>
  <si>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</si>
  <si>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</si>
  <si>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</si>
  <si>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</si>
  <si>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</si>
  <si>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</si>
  <si>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</si>
  <si>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</si>
  <si>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</si>
  <si>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</si>
  <si>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</si>
  <si>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</si>
  <si>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</si>
  <si>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</si>
  <si>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</si>
  <si>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</si>
  <si>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</si>
  <si>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</si>
  <si>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</si>
  <si>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</si>
  <si>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</si>
  <si>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</si>
  <si>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</si>
  <si>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</si>
  <si>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</si>
  <si>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</si>
  <si>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</si>
  <si>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</si>
  <si>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</si>
  <si>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</si>
  <si>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</si>
  <si>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</si>
  <si>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</si>
  <si>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</si>
  <si>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</si>
  <si>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</si>
  <si>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</si>
  <si>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</si>
  <si>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</si>
  <si>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</si>
  <si>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</si>
  <si>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</si>
  <si>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</si>
  <si>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</si>
  <si>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</si>
  <si>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</si>
  <si>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</si>
  <si>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</si>
  <si>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</si>
  <si>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</si>
  <si>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</si>
  <si>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</si>
  <si>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</si>
  <si>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</si>
  <si>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</si>
  <si>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</si>
  <si>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</si>
  <si>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</si>
  <si>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</si>
  <si>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</si>
  <si>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</si>
  <si>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</si>
  <si>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</si>
  <si>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</si>
  <si>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</si>
  <si>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</si>
  <si>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</si>
  <si>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</si>
  <si>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</si>
  <si>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</si>
  <si>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</si>
  <si>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</si>
  <si>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</si>
  <si>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</si>
  <si>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</si>
  <si>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</si>
  <si>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</si>
  <si>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</si>
  <si>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</si>
  <si>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</si>
  <si>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</si>
  <si>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</si>
  <si>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</si>
  <si>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</si>
  <si>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</si>
  <si>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</si>
  <si>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</si>
  <si>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</si>
  <si>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</si>
  <si>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</si>
  <si>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</si>
  <si>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</si>
  <si>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</si>
  <si>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</si>
  <si>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</si>
  <si>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</si>
  <si>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</si>
  <si>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</si>
  <si>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</si>
  <si>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</si>
  <si>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</si>
  <si>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</si>
  <si>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</si>
  <si>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</si>
  <si>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</si>
  <si>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</si>
  <si>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</si>
  <si>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</si>
  <si>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</si>
  <si>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</si>
  <si>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</si>
  <si>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</si>
  <si>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</si>
  <si>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</si>
  <si>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</si>
  <si>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</si>
  <si>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</si>
  <si>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</si>
  <si>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</si>
  <si>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</si>
  <si>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</si>
  <si>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</si>
  <si>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</si>
  <si>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</si>
  <si>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</si>
  <si>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</si>
  <si>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</si>
  <si>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</si>
  <si>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</si>
  <si>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</si>
  <si>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</si>
  <si>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</si>
  <si>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</si>
  <si>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</si>
  <si>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</si>
  <si>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</si>
  <si>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</si>
  <si>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</si>
  <si>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</si>
  <si>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</si>
  <si>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</si>
  <si>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</si>
  <si>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</si>
  <si>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</si>
  <si>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</si>
  <si>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</si>
  <si>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</si>
  <si>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</si>
  <si>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</si>
  <si>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</si>
  <si>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</si>
  <si>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</si>
  <si>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</si>
  <si>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</si>
  <si>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</si>
  <si>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</si>
  <si>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</si>
  <si>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</si>
  <si>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</si>
  <si>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</si>
  <si>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</si>
  <si>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</si>
  <si>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</si>
  <si>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</si>
  <si>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</si>
  <si>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</si>
  <si>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</si>
  <si>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</si>
  <si>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</si>
  <si>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</si>
  <si>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</si>
  <si>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</si>
  <si>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</si>
  <si>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</si>
  <si>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</si>
  <si>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</si>
  <si>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</si>
  <si>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</si>
  <si>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</si>
  <si>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</si>
  <si>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</si>
  <si>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</si>
  <si>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</si>
  <si>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</si>
  <si>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</si>
  <si>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</si>
  <si>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</si>
  <si>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</si>
  <si>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</si>
  <si>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</si>
  <si>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</si>
  <si>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</si>
  <si>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</si>
  <si>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</si>
  <si>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</si>
  <si>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</si>
  <si>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</si>
  <si>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</si>
  <si>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</si>
  <si>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</si>
  <si>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</si>
  <si>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</si>
  <si>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</si>
  <si>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</si>
  <si>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</si>
  <si>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</si>
  <si>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</si>
  <si>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</si>
  <si>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</si>
  <si>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</si>
  <si>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</si>
  <si>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</si>
  <si>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</si>
  <si>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</si>
  <si>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</si>
  <si>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</si>
  <si>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</si>
  <si>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</si>
  <si>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</si>
  <si>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</si>
  <si>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</si>
  <si>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</si>
  <si>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</si>
  <si>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</si>
  <si>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</si>
  <si>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</si>
  <si>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</si>
  <si>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</si>
  <si>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</si>
  <si>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</si>
  <si>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</si>
  <si>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</si>
  <si>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</si>
  <si>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</si>
  <si>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</si>
  <si>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</si>
  <si>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</si>
  <si>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</si>
  <si>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</si>
  <si>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</si>
  <si>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</si>
  <si>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</si>
  <si>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</si>
  <si>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</si>
  <si>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</si>
  <si>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</si>
  <si>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</si>
  <si>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</si>
  <si>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</si>
  <si>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</si>
  <si>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</si>
  <si>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</si>
  <si>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</si>
  <si>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</si>
  <si>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</si>
  <si>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</si>
  <si>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</si>
  <si>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</si>
  <si>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</si>
  <si>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</si>
  <si>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</si>
  <si>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</si>
  <si>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</si>
  <si>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</si>
  <si>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</si>
  <si>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</si>
  <si>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</si>
  <si>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</si>
  <si>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</si>
  <si>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</si>
  <si>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</si>
  <si>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</si>
  <si>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</si>
  <si>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</si>
  <si>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</si>
  <si>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</si>
  <si>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</si>
  <si>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</si>
  <si>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</si>
  <si>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</si>
  <si>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</si>
  <si>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</si>
  <si>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</si>
  <si>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</si>
  <si>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</si>
  <si>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</si>
  <si>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</si>
  <si>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</si>
  <si>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</si>
  <si>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</si>
  <si>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</si>
  <si>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</si>
  <si>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</si>
  <si>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</si>
  <si>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</si>
  <si>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</si>
  <si>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</si>
  <si>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</si>
  <si>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</si>
  <si>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</si>
  <si>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</si>
  <si>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</si>
  <si>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</si>
  <si>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</si>
  <si>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</si>
  <si>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</si>
  <si>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</si>
  <si>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</si>
  <si>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</si>
  <si>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</si>
  <si>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</si>
  <si>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</si>
  <si>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</si>
  <si>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</si>
  <si>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</si>
  <si>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</si>
  <si>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</si>
  <si>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</si>
  <si>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</si>
  <si>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</si>
  <si>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</si>
  <si>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</si>
  <si>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</si>
  <si>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</si>
  <si>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</si>
  <si>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</si>
  <si>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</si>
  <si>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</si>
  <si>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</si>
  <si>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</si>
  <si>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</si>
  <si>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</si>
  <si>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</si>
  <si>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</si>
  <si>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</si>
  <si>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</si>
  <si>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</si>
  <si>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</si>
  <si>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</si>
  <si>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</si>
  <si>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</si>
  <si>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</si>
  <si>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</si>
  <si>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</si>
  <si>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</si>
  <si>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</si>
  <si>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</si>
  <si>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</si>
  <si>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</si>
  <si>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</si>
  <si>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</si>
  <si>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</si>
  <si>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</si>
  <si>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</si>
  <si>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</si>
  <si>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</si>
  <si>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</si>
  <si>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</si>
  <si>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</si>
  <si>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</si>
  <si>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</si>
  <si>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</si>
  <si>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</si>
  <si>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</si>
  <si>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</si>
  <si>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</si>
  <si>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</si>
  <si>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</si>
  <si>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</si>
  <si>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</si>
  <si>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</si>
  <si>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</si>
  <si>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</si>
  <si>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</si>
  <si>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</si>
  <si>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</si>
  <si>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</si>
  <si>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</si>
  <si>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</si>
  <si>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</si>
  <si>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</si>
  <si>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</si>
  <si>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</si>
  <si>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</si>
  <si>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</si>
  <si>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</si>
  <si>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</si>
  <si>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</si>
  <si>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</si>
  <si>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</si>
  <si>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</si>
  <si>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</si>
  <si>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</si>
  <si>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</si>
  <si>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</si>
  <si>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</si>
  <si>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</si>
  <si>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</si>
  <si>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</si>
  <si>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</si>
  <si>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</si>
  <si>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</si>
  <si>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</si>
  <si>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</si>
  <si>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</si>
  <si>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</si>
  <si>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</si>
  <si>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</si>
  <si>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</si>
  <si>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</si>
  <si>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</si>
  <si>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</si>
  <si>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</si>
  <si>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</si>
  <si>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</si>
  <si>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</si>
  <si>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</si>
  <si>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</si>
  <si>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</si>
  <si>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</si>
  <si>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</si>
  <si>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</si>
  <si>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</si>
  <si>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</si>
  <si>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</si>
  <si>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</si>
  <si>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</si>
  <si>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</si>
  <si>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</si>
  <si>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</si>
  <si>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</si>
  <si>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</si>
  <si>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</si>
  <si>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</si>
  <si>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</si>
  <si>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</si>
  <si>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</si>
  <si>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</si>
  <si>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</si>
  <si>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</si>
  <si>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</si>
  <si>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</si>
  <si>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</si>
  <si>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</si>
  <si>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</si>
  <si>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</si>
  <si>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</si>
  <si>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</si>
  <si>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</si>
  <si>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</si>
  <si>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</si>
  <si>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</si>
  <si>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</si>
  <si>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</si>
  <si>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</si>
  <si>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</si>
  <si>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</si>
  <si>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</si>
  <si>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</si>
  <si>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</si>
  <si>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</si>
  <si>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</si>
  <si>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</si>
  <si>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</si>
  <si>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</si>
  <si>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</si>
  <si>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</si>
  <si>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</si>
  <si>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</si>
  <si>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</si>
  <si>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</si>
  <si>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</si>
  <si>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</si>
  <si>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</si>
  <si>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</si>
  <si>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</si>
  <si>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</si>
  <si>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</si>
  <si>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</si>
  <si>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</si>
  <si>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</si>
  <si>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</si>
  <si>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</si>
  <si>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</si>
  <si>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</si>
  <si>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</si>
  <si>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</si>
  <si>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</si>
  <si>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</si>
  <si>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</si>
  <si>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</si>
  <si>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</si>
  <si>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</si>
  <si>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</si>
  <si>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</si>
  <si>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</si>
  <si>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</si>
  <si>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</si>
  <si>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</si>
  <si>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</si>
  <si>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</si>
  <si>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</si>
  <si>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</si>
  <si>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</si>
  <si>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</si>
  <si>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</si>
  <si>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</si>
  <si>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</si>
  <si>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</si>
  <si>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</si>
  <si>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</si>
  <si>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</si>
  <si>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</si>
  <si>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</si>
  <si>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</si>
  <si>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</si>
  <si>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</si>
  <si>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</si>
  <si>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</si>
  <si>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</si>
  <si>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</si>
  <si>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</si>
  <si>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</si>
  <si>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</si>
  <si>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</si>
  <si>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</si>
  <si>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</si>
  <si>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</si>
  <si>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</si>
  <si>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</si>
  <si>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</si>
  <si>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</si>
  <si>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</si>
  <si>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</si>
  <si>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</si>
  <si>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</si>
  <si>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</si>
  <si>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</si>
  <si>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</si>
  <si>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</si>
  <si>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</si>
  <si>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</si>
  <si>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</si>
  <si>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</si>
  <si>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</si>
  <si>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</si>
  <si>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</si>
  <si>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</si>
  <si>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</si>
  <si>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</si>
  <si>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</si>
  <si>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</si>
  <si>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</si>
  <si>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</si>
  <si>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</si>
  <si>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</si>
  <si>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</si>
  <si>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</si>
  <si>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</si>
  <si>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</si>
  <si>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</si>
  <si>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</si>
  <si>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</si>
  <si>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</si>
  <si>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</si>
  <si>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</si>
  <si>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</si>
  <si>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</si>
  <si>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</si>
  <si>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</si>
  <si>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</si>
  <si>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</si>
  <si>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</si>
  <si>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</si>
  <si>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</si>
  <si>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</si>
  <si>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</si>
  <si>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</si>
  <si>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</si>
  <si>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</si>
  <si>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</si>
  <si>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</si>
  <si>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</si>
  <si>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</si>
  <si>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</si>
  <si>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</si>
  <si>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</si>
  <si>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</si>
  <si>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</si>
  <si>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</si>
  <si>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</si>
  <si>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</si>
  <si>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</si>
  <si>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</si>
  <si>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</si>
  <si>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</si>
  <si>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</si>
  <si>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</si>
  <si>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</si>
  <si>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IL</t>
  </si>
  <si>
    <t>815/235-3157</t>
  </si>
  <si>
    <t>815/235-3158</t>
  </si>
  <si>
    <t>066-004238</t>
  </si>
  <si>
    <t>jblocker@benninggroup.com</t>
  </si>
  <si>
    <t>JO DAVIESS</t>
  </si>
  <si>
    <t>311 WATER STREET</t>
  </si>
  <si>
    <t>WARREN</t>
  </si>
  <si>
    <t>X</t>
  </si>
  <si>
    <t>SHAWN TESKE</t>
  </si>
  <si>
    <t>Shawn.Teske@205warren.net</t>
  </si>
  <si>
    <t>815/745-2654</t>
  </si>
  <si>
    <t>815/745-9333</t>
  </si>
  <si>
    <t>AARON MERCIER</t>
  </si>
  <si>
    <t>amercier@roe8.com</t>
  </si>
  <si>
    <t>815/599-1408</t>
  </si>
  <si>
    <t>815/297-9032</t>
  </si>
  <si>
    <t>General Obligation Refunding Schools Bonds, Series 2010</t>
  </si>
  <si>
    <t xml:space="preserve">Lease to Purchase </t>
  </si>
  <si>
    <t>10-2100-300</t>
  </si>
  <si>
    <t xml:space="preserve">Progressus Therapy </t>
  </si>
  <si>
    <t>10-2550-300</t>
  </si>
  <si>
    <t xml:space="preserve">Central School Bus </t>
  </si>
  <si>
    <t xml:space="preserve">Northwest Special Education District </t>
  </si>
  <si>
    <t xml:space="preserve">ROE Paper Purchasing </t>
  </si>
  <si>
    <t xml:space="preserve">Jo Daviess Carroll CTEA </t>
  </si>
  <si>
    <t xml:space="preserve">Eagle Ridge Vocational Delivery System </t>
  </si>
  <si>
    <t xml:space="preserve">Account </t>
  </si>
  <si>
    <t xml:space="preserve">Page </t>
  </si>
  <si>
    <t xml:space="preserve">Fund </t>
  </si>
  <si>
    <t>Line #</t>
  </si>
  <si>
    <t xml:space="preserve">Description </t>
  </si>
  <si>
    <t xml:space="preserve">Amount </t>
  </si>
  <si>
    <t xml:space="preserve">TIF-Village of Warren </t>
  </si>
  <si>
    <t xml:space="preserve">In-district substitutes </t>
  </si>
  <si>
    <t xml:space="preserve">District share of retirement </t>
  </si>
  <si>
    <t>Tuition reimbursements</t>
  </si>
  <si>
    <t xml:space="preserve">Diplomas &amp; awards </t>
  </si>
  <si>
    <t xml:space="preserve">Other support services admin salaries </t>
  </si>
  <si>
    <t xml:space="preserve">Administrator benefits </t>
  </si>
  <si>
    <r>
      <rPr>
        <b/>
        <sz val="10"/>
        <rFont val="Calibri"/>
        <family val="2"/>
        <scheme val="minor"/>
      </rPr>
      <t>Audit check</t>
    </r>
    <r>
      <rPr>
        <sz val="10"/>
        <rFont val="Calibri"/>
        <family val="2"/>
        <scheme val="minor"/>
      </rPr>
      <t xml:space="preserve">:  Error message #8 is a result of the issuance of lease to purchase obligations ($20,416), which </t>
    </r>
  </si>
  <si>
    <t>Donations</t>
  </si>
  <si>
    <t>NONE</t>
  </si>
  <si>
    <t xml:space="preserve">Lease to Purchase - Chrome Books </t>
  </si>
  <si>
    <t>Lease to Purchase - Thinkpads &amp; ThinkCentres</t>
  </si>
  <si>
    <t xml:space="preserve">ED-Pupil-Purchased Services </t>
  </si>
  <si>
    <t xml:space="preserve">TR-Pupil Transportation- Purchased Services </t>
  </si>
  <si>
    <t xml:space="preserve">are recorded in Function 7990-Other Sources. </t>
  </si>
  <si>
    <t xml:space="preserve">REAP grant </t>
  </si>
  <si>
    <t xml:space="preserve">CTE Perkins grant </t>
  </si>
  <si>
    <t xml:space="preserve">Library grant </t>
  </si>
  <si>
    <t xml:space="preserve">Sport fees </t>
  </si>
  <si>
    <t xml:space="preserve">Cafeteria rebate </t>
  </si>
  <si>
    <t xml:space="preserve">Gavilon </t>
  </si>
  <si>
    <t xml:space="preserve">Substitute medicare </t>
  </si>
  <si>
    <t>Warren CUSD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</si>
</sst>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5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66" fillId="0" borderId="0" xfId="0" applyFont="1" applyAlignment="1">
      <alignment horizontal="left"/>
    </xf>
    <xf numFmtId="182" fontId="57" fillId="0" borderId="0" xfId="1" applyNumberFormat="1" applyFont="1" applyAlignment="1">
      <alignment horizontal="left"/>
    </xf>
    <xf numFmtId="182" fontId="57" fillId="0" borderId="78" xfId="1" applyNumberFormat="1" applyFont="1" applyBorder="1" applyAlignment="1">
      <alignment horizontal="left"/>
    </xf>
    <xf numFmtId="181" fontId="57" fillId="0" borderId="166" xfId="19" applyNumberFormat="1" applyFont="1" applyBorder="1" applyAlignment="1">
      <alignment horizontal="left"/>
    </xf>
    <xf numFmtId="181" fontId="57" fillId="0" borderId="0" xfId="19" applyNumberFormat="1" applyFont="1" applyBorder="1" applyAlignment="1">
      <alignment horizontal="left"/>
    </xf>
    <xf numFmtId="0" fontId="1" fillId="0" borderId="158" xfId="17" applyFont="1" applyBorder="1" applyAlignment="1" applyProtection="1">
      <alignment horizontal="left" vertical="top" wrapText="1"/>
      <protection locked="0"/>
    </xf>
    <xf numFmtId="0" fontId="57" fillId="0" borderId="0" xfId="0" applyFont="1" applyFill="1" applyAlignment="1">
      <alignment horizontal="left"/>
    </xf>
    <xf numFmtId="181" fontId="57" fillId="0" borderId="166" xfId="19" applyNumberFormat="1" applyFont="1" applyFill="1" applyBorder="1" applyAlignment="1">
      <alignment horizontal="left"/>
    </xf>
    <xf numFmtId="181" fontId="57" fillId="0" borderId="0" xfId="19" applyNumberFormat="1" applyFont="1" applyAlignment="1">
      <alignment horizontal="left"/>
    </xf>
    <xf numFmtId="0" fontId="57" fillId="0" borderId="0" xfId="0" applyFont="1" applyAlignment="1">
      <alignment horizontal="center"/>
    </xf>
    <xf numFmtId="0" fontId="66" fillId="0" borderId="0" xfId="0" applyFont="1" applyAlignment="1">
      <alignment horizontal="center"/>
    </xf>
    <xf numFmtId="0" fontId="57" fillId="0" borderId="0" xfId="0" applyFont="1" applyFill="1" applyAlignment="1">
      <alignment horizontal="center"/>
    </xf>
    <xf numFmtId="166" fontId="62" fillId="0" borderId="0" xfId="0" applyNumberFormat="1" applyFont="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2398569</xdr:colOff>
          <xdr:row>4</xdr:row>
          <xdr:rowOff>112568</xdr:rowOff>
        </xdr:from>
        <xdr:to>
          <xdr:col>1</xdr:col>
          <xdr:colOff>3310371</xdr:colOff>
          <xdr:row>9</xdr:row>
          <xdr:rowOff>71870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2089</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x14ac:dyDescent="0.2">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1012</v>
      </c>
      <c r="B11" s="2044"/>
      <c r="C11" s="2044"/>
      <c r="D11" s="2044"/>
      <c r="E11" s="2044"/>
      <c r="F11" s="2044"/>
      <c r="G11" s="2044"/>
      <c r="H11" s="2045"/>
      <c r="I11" s="27"/>
      <c r="J11" s="74"/>
      <c r="K11" s="27"/>
      <c r="O11" s="148" t="s">
        <v>2089</v>
      </c>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7">
        <v>8043205026</v>
      </c>
      <c r="B13" s="2048"/>
      <c r="C13" s="2048"/>
      <c r="D13" s="2048"/>
      <c r="E13" s="2048"/>
      <c r="F13" s="2048"/>
      <c r="G13" s="2048"/>
      <c r="H13" s="2049"/>
      <c r="I13" s="31"/>
      <c r="J13" s="30"/>
      <c r="K13" s="28"/>
      <c r="L13" s="30"/>
      <c r="M13" s="30"/>
      <c r="N13" s="30"/>
      <c r="O13" s="30"/>
      <c r="P13" s="30"/>
      <c r="Q13" s="30"/>
      <c r="R13" s="30"/>
      <c r="S13" s="30"/>
      <c r="T13" s="2052" t="s">
        <v>2077</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2086</v>
      </c>
      <c r="B15" s="2050"/>
      <c r="C15" s="2050"/>
      <c r="D15" s="2050"/>
      <c r="E15" s="2050"/>
      <c r="F15" s="2050"/>
      <c r="G15" s="2050"/>
      <c r="H15" s="2051"/>
      <c r="T15" s="2056" t="s">
        <v>2078</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2136</v>
      </c>
      <c r="B17" s="2007"/>
      <c r="C17" s="2007"/>
      <c r="D17" s="2007"/>
      <c r="E17" s="2007"/>
      <c r="F17" s="2007"/>
      <c r="G17" s="2007"/>
      <c r="H17" s="2032"/>
      <c r="T17" s="2063" t="s">
        <v>2079</v>
      </c>
      <c r="U17" s="2064"/>
      <c r="V17" s="2064"/>
      <c r="W17" s="2064"/>
      <c r="X17" s="2064"/>
      <c r="Y17" s="2064"/>
      <c r="Z17" s="2064"/>
      <c r="AA17" s="2065"/>
    </row>
    <row r="18" spans="1:27" ht="13.5" customHeight="1" x14ac:dyDescent="0.2">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x14ac:dyDescent="0.2">
      <c r="A19" s="2046" t="s">
        <v>2087</v>
      </c>
      <c r="B19" s="1992"/>
      <c r="C19" s="1992"/>
      <c r="D19" s="1992"/>
      <c r="E19" s="1992"/>
      <c r="F19" s="1992"/>
      <c r="G19" s="1992"/>
      <c r="H19" s="1972"/>
      <c r="I19" s="30"/>
      <c r="J19" s="99"/>
      <c r="K19" s="40"/>
      <c r="L19" s="38"/>
      <c r="M19" s="112" t="s">
        <v>333</v>
      </c>
      <c r="P19" s="27"/>
      <c r="Q19" s="27"/>
      <c r="R19" s="27"/>
      <c r="S19" s="31"/>
      <c r="T19" s="2046" t="s">
        <v>2080</v>
      </c>
      <c r="U19" s="1971"/>
      <c r="V19" s="1971"/>
      <c r="W19" s="1972"/>
      <c r="X19" s="2061" t="s">
        <v>2081</v>
      </c>
      <c r="Y19" s="2062"/>
      <c r="Z19" s="2059">
        <v>61032</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0" t="s">
        <v>2088</v>
      </c>
      <c r="B21" s="1971"/>
      <c r="C21" s="1971"/>
      <c r="D21" s="1971"/>
      <c r="E21" s="1971"/>
      <c r="F21" s="1971"/>
      <c r="G21" s="1971"/>
      <c r="H21" s="1972"/>
      <c r="I21" s="2026" t="s">
        <v>699</v>
      </c>
      <c r="J21" s="2021"/>
      <c r="K21" s="2021"/>
      <c r="L21" s="2021"/>
      <c r="M21" s="2021"/>
      <c r="N21" s="2021"/>
      <c r="O21" s="2021"/>
      <c r="P21" s="2021"/>
      <c r="Q21" s="2021"/>
      <c r="R21" s="2021"/>
      <c r="S21" s="2027"/>
      <c r="T21" s="2070" t="s">
        <v>2082</v>
      </c>
      <c r="U21" s="2071"/>
      <c r="V21" s="2071"/>
      <c r="W21" s="2071"/>
      <c r="X21" s="2076" t="s">
        <v>2083</v>
      </c>
      <c r="Y21" s="2077"/>
      <c r="Z21" s="2077"/>
      <c r="AA21" s="2078"/>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3"/>
      <c r="B23" s="2024"/>
      <c r="C23" s="2024"/>
      <c r="D23" s="2024"/>
      <c r="E23" s="2024"/>
      <c r="F23" s="2024"/>
      <c r="G23" s="2024"/>
      <c r="H23" s="2025"/>
      <c r="T23" s="2006" t="s">
        <v>2084</v>
      </c>
      <c r="U23" s="2069"/>
      <c r="V23" s="2069"/>
      <c r="W23" s="2069"/>
      <c r="X23" s="2073">
        <v>43434</v>
      </c>
      <c r="Y23" s="2074"/>
      <c r="Z23" s="2074"/>
      <c r="AA23" s="2075"/>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0">
        <v>61087</v>
      </c>
      <c r="B25" s="1971"/>
      <c r="C25" s="1971"/>
      <c r="D25" s="1971"/>
      <c r="E25" s="1971"/>
      <c r="F25" s="1971"/>
      <c r="G25" s="1971"/>
      <c r="H25" s="1972"/>
      <c r="I25" s="113"/>
      <c r="J25" s="1995"/>
      <c r="K25" s="1995"/>
      <c r="L25" s="1995"/>
      <c r="M25" s="1995"/>
      <c r="N25" s="1995"/>
      <c r="O25" s="1995"/>
      <c r="P25" s="1995"/>
      <c r="Q25" s="1995"/>
      <c r="R25" s="1995"/>
      <c r="S25" s="1996"/>
      <c r="T25" s="2066" t="s">
        <v>2085</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1" t="s">
        <v>1591</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2089</v>
      </c>
      <c r="M29" s="40" t="s">
        <v>101</v>
      </c>
      <c r="N29" s="32" t="s">
        <v>1604</v>
      </c>
      <c r="O29" s="32"/>
      <c r="P29" s="32"/>
      <c r="Q29" s="32"/>
      <c r="R29" s="32"/>
      <c r="S29" s="123"/>
      <c r="T29" s="6"/>
      <c r="U29" s="6"/>
      <c r="V29" s="6"/>
      <c r="W29" s="6"/>
      <c r="X29" s="6"/>
      <c r="Y29" s="6"/>
      <c r="Z29" s="6"/>
      <c r="AA29" s="132"/>
    </row>
    <row r="30" spans="1:27" ht="13.5" customHeight="1" x14ac:dyDescent="0.2">
      <c r="A30" s="153"/>
      <c r="B30" s="136" t="s">
        <v>2089</v>
      </c>
      <c r="C30" s="124" t="s">
        <v>1226</v>
      </c>
      <c r="D30" s="28"/>
      <c r="E30" s="28"/>
      <c r="F30" s="140"/>
      <c r="G30" s="114"/>
      <c r="H30" s="114"/>
      <c r="I30" s="54"/>
      <c r="J30" s="102"/>
      <c r="K30" s="28" t="s">
        <v>597</v>
      </c>
      <c r="L30" s="148" t="s">
        <v>2089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2090</v>
      </c>
      <c r="B38" s="2007"/>
      <c r="C38" s="2007"/>
      <c r="D38" s="2007"/>
      <c r="E38" s="2007"/>
      <c r="F38" s="1971"/>
      <c r="G38" s="1971"/>
      <c r="H38" s="1972"/>
      <c r="I38" s="1999"/>
      <c r="J38" s="2000"/>
      <c r="K38" s="2000"/>
      <c r="L38" s="2000"/>
      <c r="M38" s="2000"/>
      <c r="N38" s="2000"/>
      <c r="O38" s="2000"/>
      <c r="P38" s="2001"/>
      <c r="Q38" s="2001"/>
      <c r="R38" s="2001"/>
      <c r="S38" s="2002"/>
      <c r="T38" s="2056" t="s">
        <v>2094</v>
      </c>
      <c r="U38" s="2000"/>
      <c r="V38" s="2000"/>
      <c r="W38" s="2000"/>
      <c r="X38" s="2001"/>
      <c r="Y38" s="2001"/>
      <c r="Z38" s="2001"/>
      <c r="AA38" s="2002"/>
    </row>
    <row r="39" spans="1:27" ht="12" customHeight="1" x14ac:dyDescent="0.2">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x14ac:dyDescent="0.2">
      <c r="A40" s="1984" t="s">
        <v>2091</v>
      </c>
      <c r="B40" s="1985"/>
      <c r="C40" s="1986"/>
      <c r="D40" s="1986"/>
      <c r="E40" s="1986"/>
      <c r="F40" s="1987"/>
      <c r="G40" s="1987"/>
      <c r="H40" s="1988"/>
      <c r="I40" s="2009"/>
      <c r="J40" s="2010"/>
      <c r="K40" s="2010"/>
      <c r="L40" s="2010"/>
      <c r="M40" s="2010"/>
      <c r="N40" s="2010"/>
      <c r="O40" s="2010"/>
      <c r="P40" s="2010"/>
      <c r="Q40" s="2010"/>
      <c r="R40" s="2010"/>
      <c r="S40" s="2011"/>
      <c r="T40" s="2009" t="s">
        <v>2095</v>
      </c>
      <c r="U40" s="2072"/>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2092</v>
      </c>
      <c r="B42" s="1990"/>
      <c r="C42" s="1991"/>
      <c r="D42" s="1989" t="s">
        <v>2093</v>
      </c>
      <c r="E42" s="1990"/>
      <c r="F42" s="1990"/>
      <c r="G42" s="1990"/>
      <c r="H42" s="1991"/>
      <c r="I42" s="1973"/>
      <c r="J42" s="1974"/>
      <c r="K42" s="1974"/>
      <c r="L42" s="1974"/>
      <c r="M42" s="1974"/>
      <c r="N42" s="1974"/>
      <c r="O42" s="1975"/>
      <c r="P42" s="2008"/>
      <c r="Q42" s="1974"/>
      <c r="R42" s="1974"/>
      <c r="S42" s="1975"/>
      <c r="T42" s="1973" t="s">
        <v>2096</v>
      </c>
      <c r="U42" s="1974"/>
      <c r="V42" s="1974"/>
      <c r="W42" s="1975"/>
      <c r="X42" s="2008" t="s">
        <v>2097</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18" sqref="I18:S1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2" t="s">
        <v>1905</v>
      </c>
      <c r="B2" s="1549" t="s">
        <v>2037</v>
      </c>
      <c r="C2" s="715" t="s">
        <v>1910</v>
      </c>
      <c r="D2" s="715" t="s">
        <v>1911</v>
      </c>
      <c r="E2" s="715" t="s">
        <v>1912</v>
      </c>
      <c r="F2" s="715" t="s">
        <v>1913</v>
      </c>
    </row>
    <row r="3" spans="1:6" ht="12" customHeight="1" x14ac:dyDescent="0.2">
      <c r="A3" s="2213"/>
      <c r="B3" s="1546"/>
      <c r="C3" s="1547"/>
      <c r="D3" s="1548" t="s">
        <v>274</v>
      </c>
      <c r="E3" s="1547"/>
      <c r="F3" s="1548" t="s">
        <v>275</v>
      </c>
    </row>
    <row r="4" spans="1:6" ht="13.7" customHeight="1" x14ac:dyDescent="0.2">
      <c r="A4" s="716" t="s">
        <v>1217</v>
      </c>
      <c r="B4" s="1770">
        <f>'Revenues 9-14'!C5</f>
        <v>2068430</v>
      </c>
      <c r="C4" s="1545">
        <v>421689</v>
      </c>
      <c r="D4" s="1773">
        <f>B4-C4</f>
        <v>1646741</v>
      </c>
      <c r="E4" s="1545">
        <v>2149434</v>
      </c>
      <c r="F4" s="1773">
        <f>E4-C4</f>
        <v>1727745</v>
      </c>
    </row>
    <row r="5" spans="1:6" ht="13.7" customHeight="1" x14ac:dyDescent="0.2">
      <c r="A5" s="716" t="s">
        <v>925</v>
      </c>
      <c r="B5" s="1771">
        <f>'Revenues 9-14'!D5</f>
        <v>391461</v>
      </c>
      <c r="C5" s="585">
        <v>79803</v>
      </c>
      <c r="D5" s="1774">
        <f t="shared" ref="D5:D18" si="0">B5-C5</f>
        <v>311658</v>
      </c>
      <c r="E5" s="585">
        <v>406774</v>
      </c>
      <c r="F5" s="1774">
        <f>E5-C5</f>
        <v>326971</v>
      </c>
    </row>
    <row r="6" spans="1:6" ht="13.7" customHeight="1" x14ac:dyDescent="0.2">
      <c r="A6" s="716" t="s">
        <v>431</v>
      </c>
      <c r="B6" s="1771">
        <f>'Revenues 9-14'!E5</f>
        <v>590122</v>
      </c>
      <c r="C6" s="585">
        <v>121752</v>
      </c>
      <c r="D6" s="1774">
        <f t="shared" si="0"/>
        <v>468370</v>
      </c>
      <c r="E6" s="585">
        <v>620595</v>
      </c>
      <c r="F6" s="1774">
        <f t="shared" ref="F6:F18" si="1">E6-C6</f>
        <v>498843</v>
      </c>
    </row>
    <row r="7" spans="1:6" ht="13.7" customHeight="1" x14ac:dyDescent="0.2">
      <c r="A7" s="716" t="s">
        <v>157</v>
      </c>
      <c r="B7" s="1771">
        <f>'Revenues 9-14'!F5</f>
        <v>231414</v>
      </c>
      <c r="C7" s="585">
        <v>46728</v>
      </c>
      <c r="D7" s="1774">
        <f t="shared" si="0"/>
        <v>184686</v>
      </c>
      <c r="E7" s="585">
        <v>238184</v>
      </c>
      <c r="F7" s="1774">
        <f t="shared" si="1"/>
        <v>191456</v>
      </c>
    </row>
    <row r="8" spans="1:6" ht="13.7" customHeight="1" x14ac:dyDescent="0.2">
      <c r="A8" s="716" t="s">
        <v>1241</v>
      </c>
      <c r="B8" s="1771">
        <f>'Revenues 9-14'!G5</f>
        <v>61740</v>
      </c>
      <c r="C8" s="585">
        <v>14028</v>
      </c>
      <c r="D8" s="1774">
        <f t="shared" si="0"/>
        <v>47712</v>
      </c>
      <c r="E8" s="585">
        <v>71500</v>
      </c>
      <c r="F8" s="1774">
        <f t="shared" si="1"/>
        <v>57472</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25977</v>
      </c>
      <c r="C10" s="585">
        <v>5194</v>
      </c>
      <c r="D10" s="1774">
        <f t="shared" si="0"/>
        <v>20783</v>
      </c>
      <c r="E10" s="585">
        <v>26474</v>
      </c>
      <c r="F10" s="1774">
        <f t="shared" si="1"/>
        <v>21280</v>
      </c>
    </row>
    <row r="11" spans="1:6" x14ac:dyDescent="0.2">
      <c r="A11" s="716" t="s">
        <v>429</v>
      </c>
      <c r="B11" s="1771">
        <f>'Revenues 9-14'!J5</f>
        <v>144274</v>
      </c>
      <c r="C11" s="585">
        <v>28844</v>
      </c>
      <c r="D11" s="1774">
        <f t="shared" si="0"/>
        <v>115430</v>
      </c>
      <c r="E11" s="585">
        <v>147028</v>
      </c>
      <c r="F11" s="1774">
        <f t="shared" si="1"/>
        <v>118184</v>
      </c>
    </row>
    <row r="12" spans="1:6" ht="13.7" customHeight="1" x14ac:dyDescent="0.2">
      <c r="A12" s="716" t="s">
        <v>159</v>
      </c>
      <c r="B12" s="1771">
        <f>'Revenues 9-14'!K5</f>
        <v>21165</v>
      </c>
      <c r="C12" s="585">
        <v>4231</v>
      </c>
      <c r="D12" s="1774">
        <f t="shared" si="0"/>
        <v>16934</v>
      </c>
      <c r="E12" s="585">
        <v>21569</v>
      </c>
      <c r="F12" s="1774">
        <f t="shared" si="1"/>
        <v>17338</v>
      </c>
    </row>
    <row r="13" spans="1:6" ht="13.7" customHeight="1" x14ac:dyDescent="0.2">
      <c r="A13" s="716" t="s">
        <v>993</v>
      </c>
      <c r="B13" s="1771">
        <f>SUM('Revenues 9-14'!C6:D6)</f>
        <v>32420</v>
      </c>
      <c r="C13" s="585">
        <v>2405</v>
      </c>
      <c r="D13" s="1774">
        <f t="shared" si="0"/>
        <v>30015</v>
      </c>
      <c r="E13" s="585">
        <v>12259</v>
      </c>
      <c r="F13" s="1774">
        <f t="shared" si="1"/>
        <v>9854</v>
      </c>
    </row>
    <row r="14" spans="1:6" ht="13.7" customHeight="1" x14ac:dyDescent="0.2">
      <c r="A14" s="716" t="s">
        <v>430</v>
      </c>
      <c r="B14" s="1771">
        <f>SUM('Revenues 9-14'!C7:D7,'Revenues 9-14'!F7:H7)</f>
        <v>187918</v>
      </c>
      <c r="C14" s="585">
        <v>34012</v>
      </c>
      <c r="D14" s="1774">
        <f t="shared" si="0"/>
        <v>153906</v>
      </c>
      <c r="E14" s="585">
        <v>173366</v>
      </c>
      <c r="F14" s="1774">
        <f t="shared" si="1"/>
        <v>139354</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73142</v>
      </c>
      <c r="C16" s="585">
        <v>16577</v>
      </c>
      <c r="D16" s="1774">
        <f t="shared" si="0"/>
        <v>56565</v>
      </c>
      <c r="E16" s="585">
        <v>84500</v>
      </c>
      <c r="F16" s="1774">
        <f t="shared" si="1"/>
        <v>67923</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3828063</v>
      </c>
      <c r="C19" s="1772">
        <f>SUM(C4:C18)</f>
        <v>775263</v>
      </c>
      <c r="D19" s="1772">
        <f>SUM(D4:D18)</f>
        <v>3052800</v>
      </c>
      <c r="E19" s="1772">
        <f>SUM(E4:E18)</f>
        <v>3951683</v>
      </c>
      <c r="F19" s="1772">
        <f>SUM(F4:F18)</f>
        <v>3176420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Normal="100" workbookViewId="0">
      <selection activeCell="I18" sqref="I18:S1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1905</v>
      </c>
      <c r="B2" s="2240"/>
      <c r="C2" s="1908" t="s">
        <v>2038</v>
      </c>
      <c r="D2" s="724" t="s">
        <v>2045</v>
      </c>
      <c r="E2" s="724" t="s">
        <v>2046</v>
      </c>
      <c r="F2" s="1908" t="s">
        <v>2039</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6">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5" t="s">
        <v>652</v>
      </c>
      <c r="B15" s="2226"/>
      <c r="C15" s="1776">
        <f>SUM(C6:C14)</f>
        <v>0</v>
      </c>
      <c r="D15" s="1776">
        <f>SUM(D6:D14)</f>
        <v>0</v>
      </c>
      <c r="E15" s="1776">
        <f>SUM(E6:E14)</f>
        <v>0</v>
      </c>
      <c r="F15" s="1776">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6">
        <f>SUM(C17+D17)-E17</f>
        <v>0</v>
      </c>
    </row>
    <row r="18" spans="1:11" ht="12.75" customHeight="1" thickTop="1" thickBot="1" x14ac:dyDescent="0.25">
      <c r="A18" s="2220" t="s">
        <v>6</v>
      </c>
      <c r="B18" s="2221"/>
      <c r="C18" s="727"/>
      <c r="D18" s="585"/>
      <c r="E18" s="727"/>
      <c r="F18" s="1776">
        <f>SUM(C18+D18)-E18</f>
        <v>0</v>
      </c>
    </row>
    <row r="19" spans="1:11" ht="12.75" customHeight="1" thickTop="1" thickBot="1" x14ac:dyDescent="0.25">
      <c r="A19" s="2220" t="s">
        <v>406</v>
      </c>
      <c r="B19" s="2221"/>
      <c r="C19" s="727"/>
      <c r="D19" s="585"/>
      <c r="E19" s="727"/>
      <c r="F19" s="1776">
        <f>SUM(C19+D19)-E19</f>
        <v>0</v>
      </c>
    </row>
    <row r="20" spans="1:11" ht="12.75" customHeight="1" thickTop="1" thickBot="1" x14ac:dyDescent="0.25">
      <c r="A20" s="2220" t="s">
        <v>468</v>
      </c>
      <c r="B20" s="2221"/>
      <c r="C20" s="727"/>
      <c r="D20" s="585"/>
      <c r="E20" s="727"/>
      <c r="F20" s="1776">
        <f>SUM(C20+D20)-E20</f>
        <v>0</v>
      </c>
    </row>
    <row r="21" spans="1:11" ht="14.25" thickTop="1" thickBot="1" x14ac:dyDescent="0.25">
      <c r="A21" s="2225" t="s">
        <v>653</v>
      </c>
      <c r="B21" s="2226"/>
      <c r="C21" s="1776">
        <f>SUM(C17:C20)</f>
        <v>0</v>
      </c>
      <c r="D21" s="1776">
        <f>SUM(D17:D20)</f>
        <v>0</v>
      </c>
      <c r="E21" s="1776">
        <f>SUM(E17:E20)</f>
        <v>0</v>
      </c>
      <c r="F21" s="1776">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6">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6">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6">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2098</v>
      </c>
      <c r="B31" s="734">
        <v>40273</v>
      </c>
      <c r="C31" s="735">
        <v>4315000</v>
      </c>
      <c r="D31" s="736">
        <v>2</v>
      </c>
      <c r="E31" s="735">
        <v>2300000</v>
      </c>
      <c r="F31" s="735"/>
      <c r="G31" s="735"/>
      <c r="H31" s="735">
        <v>500000</v>
      </c>
      <c r="I31" s="1777">
        <f>((E31+F31)-H31)+G31</f>
        <v>1800000</v>
      </c>
      <c r="J31" s="735">
        <v>1642026</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2124</v>
      </c>
      <c r="B33" s="734">
        <v>42208</v>
      </c>
      <c r="C33" s="735">
        <v>20332</v>
      </c>
      <c r="D33" s="736">
        <v>7</v>
      </c>
      <c r="E33" s="735">
        <v>10161</v>
      </c>
      <c r="F33" s="735"/>
      <c r="G33" s="735"/>
      <c r="H33" s="735">
        <v>10161</v>
      </c>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2124</v>
      </c>
      <c r="B35" s="734">
        <v>42576</v>
      </c>
      <c r="C35" s="739">
        <v>4620</v>
      </c>
      <c r="D35" s="736">
        <v>7</v>
      </c>
      <c r="E35" s="739">
        <v>3392</v>
      </c>
      <c r="F35" s="739"/>
      <c r="G35" s="739"/>
      <c r="H35" s="739">
        <v>3392</v>
      </c>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2124</v>
      </c>
      <c r="B37" s="734">
        <v>42929</v>
      </c>
      <c r="C37" s="467">
        <v>11939</v>
      </c>
      <c r="D37" s="741">
        <v>7</v>
      </c>
      <c r="E37" s="467"/>
      <c r="F37" s="467">
        <v>11939</v>
      </c>
      <c r="G37" s="467"/>
      <c r="H37" s="467">
        <v>6217</v>
      </c>
      <c r="I37" s="1777">
        <f t="shared" si="1"/>
        <v>5722</v>
      </c>
      <c r="J37" s="467">
        <v>5722</v>
      </c>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t="s">
        <v>2125</v>
      </c>
      <c r="B39" s="734">
        <v>42929</v>
      </c>
      <c r="C39" s="735">
        <v>8477</v>
      </c>
      <c r="D39" s="742">
        <v>7</v>
      </c>
      <c r="E39" s="743"/>
      <c r="F39" s="743">
        <v>8477</v>
      </c>
      <c r="G39" s="743"/>
      <c r="H39" s="743">
        <v>4414</v>
      </c>
      <c r="I39" s="1777">
        <f t="shared" si="1"/>
        <v>4063</v>
      </c>
      <c r="J39" s="744">
        <v>4063</v>
      </c>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4360368</v>
      </c>
      <c r="D49" s="746"/>
      <c r="E49" s="1777">
        <f t="shared" ref="E49:J49" si="2">SUM(E31:E48)</f>
        <v>2313553</v>
      </c>
      <c r="F49" s="1777">
        <f t="shared" si="2"/>
        <v>20416</v>
      </c>
      <c r="G49" s="1777">
        <f t="shared" si="2"/>
        <v>0</v>
      </c>
      <c r="H49" s="1777">
        <f t="shared" si="2"/>
        <v>524184</v>
      </c>
      <c r="I49" s="1777">
        <f t="shared" si="2"/>
        <v>1809785</v>
      </c>
      <c r="J49" s="1777">
        <f t="shared" si="2"/>
        <v>1651811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t="s">
        <v>2099</v>
      </c>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18" sqref="I18:S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1"/>
      <c r="I1" s="761"/>
      <c r="J1" s="433"/>
    </row>
    <row r="2" spans="1:11" ht="26.25" x14ac:dyDescent="0.2">
      <c r="A2" s="2262" t="s">
        <v>1776</v>
      </c>
      <c r="B2" s="2263"/>
      <c r="C2" s="2263"/>
      <c r="D2" s="2263"/>
      <c r="E2" s="2264"/>
      <c r="F2" s="762" t="s">
        <v>960</v>
      </c>
      <c r="G2" s="763" t="s">
        <v>1773</v>
      </c>
      <c r="H2" s="763" t="s">
        <v>430</v>
      </c>
      <c r="I2" s="763" t="s">
        <v>1220</v>
      </c>
      <c r="J2" s="763" t="s">
        <v>1919</v>
      </c>
      <c r="K2" s="763" t="s">
        <v>140</v>
      </c>
    </row>
    <row r="3" spans="1:11" x14ac:dyDescent="0.2">
      <c r="A3" s="2265" t="s">
        <v>1698</v>
      </c>
      <c r="B3" s="2266"/>
      <c r="C3" s="2266"/>
      <c r="D3" s="2266"/>
      <c r="E3" s="2267"/>
      <c r="F3" s="764"/>
      <c r="G3" s="765"/>
      <c r="H3" s="765"/>
      <c r="I3" s="765"/>
      <c r="J3" s="766">
        <v>205631</v>
      </c>
      <c r="K3" s="766"/>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187918</v>
      </c>
      <c r="I5" s="773"/>
      <c r="J5" s="774"/>
      <c r="K5" s="774"/>
    </row>
    <row r="6" spans="1:11" x14ac:dyDescent="0.2">
      <c r="A6" s="775" t="s">
        <v>744</v>
      </c>
      <c r="B6" s="776"/>
      <c r="C6" s="776"/>
      <c r="D6" s="776"/>
      <c r="E6" s="777"/>
      <c r="F6" s="778" t="s">
        <v>904</v>
      </c>
      <c r="G6" s="765"/>
      <c r="H6" s="765"/>
      <c r="I6" s="765"/>
      <c r="J6" s="766">
        <v>2170</v>
      </c>
      <c r="K6" s="766"/>
    </row>
    <row r="7" spans="1:11" x14ac:dyDescent="0.2">
      <c r="A7" s="779" t="s">
        <v>264</v>
      </c>
      <c r="B7" s="780"/>
      <c r="C7" s="780"/>
      <c r="D7" s="780"/>
      <c r="E7" s="781"/>
      <c r="F7" s="771" t="s">
        <v>905</v>
      </c>
      <c r="G7" s="768"/>
      <c r="H7" s="768"/>
      <c r="I7" s="768"/>
      <c r="J7" s="782"/>
      <c r="K7" s="766">
        <v>2481</v>
      </c>
    </row>
    <row r="8" spans="1:11" x14ac:dyDescent="0.2">
      <c r="A8" s="779" t="s">
        <v>363</v>
      </c>
      <c r="B8" s="780"/>
      <c r="C8" s="780"/>
      <c r="D8" s="780"/>
      <c r="E8" s="781"/>
      <c r="F8" s="771" t="s">
        <v>906</v>
      </c>
      <c r="G8" s="783"/>
      <c r="H8" s="783"/>
      <c r="I8" s="783"/>
      <c r="J8" s="766">
        <v>235577</v>
      </c>
      <c r="K8" s="770"/>
    </row>
    <row r="9" spans="1:11" x14ac:dyDescent="0.2">
      <c r="A9" s="779" t="s">
        <v>140</v>
      </c>
      <c r="B9" s="780"/>
      <c r="C9" s="780"/>
      <c r="D9" s="780"/>
      <c r="E9" s="781"/>
      <c r="F9" s="778" t="s">
        <v>908</v>
      </c>
      <c r="G9" s="783"/>
      <c r="H9" s="772"/>
      <c r="I9" s="772"/>
      <c r="J9" s="782"/>
      <c r="K9" s="766">
        <v>4605</v>
      </c>
    </row>
    <row r="10" spans="1:11" x14ac:dyDescent="0.2">
      <c r="A10" s="2246" t="s">
        <v>1920</v>
      </c>
      <c r="B10" s="2247"/>
      <c r="C10" s="2247"/>
      <c r="D10" s="2247"/>
      <c r="E10" s="2249"/>
      <c r="F10" s="784" t="s">
        <v>917</v>
      </c>
      <c r="G10" s="783"/>
      <c r="H10" s="785"/>
      <c r="I10" s="765"/>
      <c r="J10" s="766">
        <v>5215</v>
      </c>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8"/>
      <c r="G12" s="1779">
        <f>SUM(G5:G11)</f>
        <v>0</v>
      </c>
      <c r="H12" s="1779">
        <f>SUM(H5:H11)</f>
        <v>187918</v>
      </c>
      <c r="I12" s="1779">
        <f>SUM(I5:I11)</f>
        <v>0</v>
      </c>
      <c r="J12" s="1779">
        <f>SUM(J5:J11)</f>
        <v>242962</v>
      </c>
      <c r="K12" s="1779">
        <f>SUM(K5:K11)</f>
        <v>7086</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187918</v>
      </c>
      <c r="I14" s="772"/>
      <c r="J14" s="774"/>
      <c r="K14" s="766">
        <v>7086</v>
      </c>
    </row>
    <row r="15" spans="1:11" x14ac:dyDescent="0.2">
      <c r="A15" s="2247" t="s">
        <v>4</v>
      </c>
      <c r="B15" s="2247"/>
      <c r="C15" s="2247"/>
      <c r="D15" s="2247"/>
      <c r="E15" s="2248"/>
      <c r="F15" s="790" t="s">
        <v>910</v>
      </c>
      <c r="G15" s="772"/>
      <c r="H15" s="765"/>
      <c r="I15" s="765"/>
      <c r="J15" s="766">
        <v>180671</v>
      </c>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55" t="s">
        <v>1916</v>
      </c>
      <c r="B19" s="2255"/>
      <c r="C19" s="2255"/>
      <c r="D19" s="2255"/>
      <c r="E19" s="2256"/>
      <c r="F19" s="790" t="s">
        <v>990</v>
      </c>
      <c r="G19" s="783"/>
      <c r="H19" s="783"/>
      <c r="I19" s="783"/>
      <c r="J19" s="766"/>
      <c r="K19" s="796"/>
    </row>
    <row r="20" spans="1:11" x14ac:dyDescent="0.2">
      <c r="A20" s="2257" t="s">
        <v>1921</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80"/>
      <c r="G21" s="793"/>
      <c r="H21" s="797"/>
      <c r="I21" s="797"/>
      <c r="J21" s="1781">
        <f>SUM(J18:J20)</f>
        <v>0</v>
      </c>
      <c r="K21" s="794"/>
    </row>
    <row r="22" spans="1:11" ht="13.5" thickTop="1" x14ac:dyDescent="0.2">
      <c r="A22" s="2247" t="s">
        <v>1922</v>
      </c>
      <c r="B22" s="2247"/>
      <c r="C22" s="2247"/>
      <c r="D22" s="2247"/>
      <c r="E22" s="2248"/>
      <c r="F22" s="790" t="s">
        <v>917</v>
      </c>
      <c r="G22" s="783"/>
      <c r="H22" s="765"/>
      <c r="I22" s="765"/>
      <c r="J22" s="798"/>
      <c r="K22" s="766"/>
    </row>
    <row r="23" spans="1:11" ht="13.5" thickBot="1" x14ac:dyDescent="0.25">
      <c r="A23" s="2277" t="s">
        <v>962</v>
      </c>
      <c r="B23" s="2276"/>
      <c r="C23" s="2276"/>
      <c r="D23" s="2276"/>
      <c r="E23" s="2276"/>
      <c r="F23" s="1782"/>
      <c r="G23" s="1779">
        <f>SUM(G14:G16,G21,G22)</f>
        <v>0</v>
      </c>
      <c r="H23" s="1779">
        <f>SUM(H14:H16,H21,H22)</f>
        <v>187918</v>
      </c>
      <c r="I23" s="1779">
        <f>SUM(I14:I16,I21,I22)</f>
        <v>0</v>
      </c>
      <c r="J23" s="1779">
        <f>SUM(J14:J16,J21,J22)</f>
        <v>180671</v>
      </c>
      <c r="K23" s="1779">
        <f>SUM(K14:K16,K21,K22)</f>
        <v>7086</v>
      </c>
    </row>
    <row r="24" spans="1:11" ht="14.25" thickTop="1" thickBot="1" x14ac:dyDescent="0.25">
      <c r="A24" s="2277" t="s">
        <v>2026</v>
      </c>
      <c r="B24" s="2276"/>
      <c r="C24" s="2276"/>
      <c r="D24" s="2276"/>
      <c r="E24" s="2276"/>
      <c r="F24" s="1783"/>
      <c r="G24" s="1784">
        <f>SUM(G3,G12)-G23</f>
        <v>0</v>
      </c>
      <c r="H24" s="1784">
        <f>SUM(H3,H12)-H23</f>
        <v>0</v>
      </c>
      <c r="I24" s="1784">
        <f>SUM(I3,I12)-I23</f>
        <v>0</v>
      </c>
      <c r="J24" s="1784">
        <f>SUM(J3,J12)-J23</f>
        <v>267922</v>
      </c>
      <c r="K24" s="1784">
        <f>SUM(K3,K12)-K23</f>
        <v>0</v>
      </c>
    </row>
    <row r="25" spans="1:11" ht="13.5" thickTop="1" x14ac:dyDescent="0.2">
      <c r="A25" s="799" t="s">
        <v>440</v>
      </c>
      <c r="B25" s="800"/>
      <c r="C25" s="800"/>
      <c r="D25" s="800"/>
      <c r="E25" s="801"/>
      <c r="F25" s="802">
        <v>714</v>
      </c>
      <c r="G25" s="803"/>
      <c r="H25" s="803"/>
      <c r="I25" s="803"/>
      <c r="J25" s="798">
        <v>267922</v>
      </c>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8" sqref="I18:S1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201300</v>
      </c>
      <c r="D5" s="842"/>
      <c r="E5" s="842"/>
      <c r="F5" s="1781">
        <f>(C5+D5)-E5</f>
        <v>201300</v>
      </c>
      <c r="G5" s="838"/>
      <c r="H5" s="843"/>
      <c r="I5" s="843"/>
      <c r="J5" s="843"/>
      <c r="K5" s="794"/>
      <c r="L5" s="1790">
        <f>F5-K5</f>
        <v>201300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12987778</v>
      </c>
      <c r="D8" s="845">
        <v>195895</v>
      </c>
      <c r="E8" s="845"/>
      <c r="F8" s="1781">
        <f>(C8+D8)-E8</f>
        <v>13183673</v>
      </c>
      <c r="G8" s="844">
        <v>50</v>
      </c>
      <c r="H8" s="766">
        <v>4940590</v>
      </c>
      <c r="I8" s="766">
        <v>263872</v>
      </c>
      <c r="J8" s="766"/>
      <c r="K8" s="1790">
        <f>(H8+I8)-J8</f>
        <v>5204462</v>
      </c>
      <c r="L8" s="1790">
        <f>F8-K8</f>
        <v>7979211</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626322</v>
      </c>
      <c r="D10" s="847">
        <v>25878</v>
      </c>
      <c r="E10" s="847"/>
      <c r="F10" s="1785">
        <f>(C10+D10)-E10</f>
        <v>652200</v>
      </c>
      <c r="G10" s="844">
        <v>20</v>
      </c>
      <c r="H10" s="848">
        <v>308576</v>
      </c>
      <c r="I10" s="848">
        <v>32396</v>
      </c>
      <c r="J10" s="848"/>
      <c r="K10" s="1790">
        <f>(H10+I10)-J10</f>
        <v>340972</v>
      </c>
      <c r="L10" s="1790">
        <f>F10-K10</f>
        <v>311228</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704264</v>
      </c>
      <c r="D12" s="845">
        <v>76373</v>
      </c>
      <c r="E12" s="845">
        <v>59676</v>
      </c>
      <c r="F12" s="1781">
        <f>(C12+D12)-E12</f>
        <v>720961</v>
      </c>
      <c r="G12" s="844">
        <v>10</v>
      </c>
      <c r="H12" s="766">
        <v>383486</v>
      </c>
      <c r="I12" s="766">
        <v>70310</v>
      </c>
      <c r="J12" s="766">
        <v>59676</v>
      </c>
      <c r="K12" s="1790">
        <f>(H12+I12)-J12</f>
        <v>394120</v>
      </c>
      <c r="L12" s="1790">
        <f>F12-K12</f>
        <v>326841</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v>64644</v>
      </c>
      <c r="D15" s="845"/>
      <c r="E15" s="845">
        <v>64644</v>
      </c>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14584308</v>
      </c>
      <c r="D16" s="1781">
        <f>SUM(D3,D5:D6,D8:D10,D12:D15)</f>
        <v>298146</v>
      </c>
      <c r="E16" s="1781">
        <f>SUM(E3,E5:E6,E8:E10,E12:E15)</f>
        <v>124320</v>
      </c>
      <c r="F16" s="1781">
        <f>SUM(F3,F5:F6,F8:F10,F12:F15)</f>
        <v>14758134</v>
      </c>
      <c r="G16" s="844"/>
      <c r="H16" s="1781">
        <f>SUM(H3,H6,H8:H10,H12:H14,)</f>
        <v>5632652</v>
      </c>
      <c r="I16" s="1781">
        <f>SUM(I3,I6,I8:I10,I12:I14,)</f>
        <v>366578</v>
      </c>
      <c r="J16" s="1781">
        <f>SUM(J3,J6,J8:J10,J12:J14,)</f>
        <v>59676</v>
      </c>
      <c r="K16" s="1781">
        <f>(H16+I16)-J16</f>
        <v>5939554</v>
      </c>
      <c r="L16" s="1781">
        <f>F16-K16</f>
        <v>8818580</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366578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I18" sqref="I18:S18"/>
      <selection pane="bottomLeft" activeCell="I18" sqref="I18:S1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3839930</v>
      </c>
      <c r="G8" s="866"/>
    </row>
    <row r="9" spans="1:7" x14ac:dyDescent="0.2">
      <c r="A9" s="870" t="s">
        <v>480</v>
      </c>
      <c r="B9" s="871" t="s">
        <v>1989</v>
      </c>
      <c r="C9" s="872"/>
      <c r="D9" s="870" t="s">
        <v>522</v>
      </c>
      <c r="E9" s="869"/>
      <c r="F9" s="1934">
        <f>'Expenditures 15-22'!K151</f>
        <v>341057</v>
      </c>
      <c r="G9" s="873"/>
    </row>
    <row r="10" spans="1:7" x14ac:dyDescent="0.2">
      <c r="A10" s="870" t="s">
        <v>520</v>
      </c>
      <c r="B10" s="871" t="s">
        <v>1990</v>
      </c>
      <c r="C10" s="872"/>
      <c r="D10" s="870" t="s">
        <v>522</v>
      </c>
      <c r="E10" s="869"/>
      <c r="F10" s="1934">
        <f>'Expenditures 15-22'!K174</f>
        <v>608197</v>
      </c>
      <c r="G10" s="873"/>
    </row>
    <row r="11" spans="1:7" x14ac:dyDescent="0.2">
      <c r="A11" s="870" t="s">
        <v>481</v>
      </c>
      <c r="B11" s="871" t="s">
        <v>1991</v>
      </c>
      <c r="C11" s="872"/>
      <c r="D11" s="870" t="s">
        <v>522</v>
      </c>
      <c r="E11" s="869"/>
      <c r="F11" s="1934">
        <f>'Expenditures 15-22'!K210</f>
        <v>388225</v>
      </c>
      <c r="G11" s="873"/>
    </row>
    <row r="12" spans="1:7" x14ac:dyDescent="0.2">
      <c r="A12" s="870" t="s">
        <v>482</v>
      </c>
      <c r="B12" s="871" t="s">
        <v>1992</v>
      </c>
      <c r="C12" s="872"/>
      <c r="D12" s="870" t="s">
        <v>522</v>
      </c>
      <c r="E12" s="869"/>
      <c r="F12" s="1934">
        <f>'Expenditures 15-22'!K295</f>
        <v>148351</v>
      </c>
      <c r="G12" s="873"/>
    </row>
    <row r="13" spans="1:7" x14ac:dyDescent="0.2">
      <c r="A13" s="870" t="s">
        <v>108</v>
      </c>
      <c r="B13" s="871" t="s">
        <v>1993</v>
      </c>
      <c r="C13" s="872"/>
      <c r="D13" s="870" t="s">
        <v>522</v>
      </c>
      <c r="E13" s="869"/>
      <c r="F13" s="1934">
        <f>'Expenditures 15-22'!K342</f>
        <v>144985</v>
      </c>
      <c r="G13" s="874"/>
    </row>
    <row r="14" spans="1:7" ht="12" customHeight="1" thickBot="1" x14ac:dyDescent="0.25">
      <c r="A14" s="1791"/>
      <c r="B14" s="1792"/>
      <c r="C14" s="1793"/>
      <c r="D14" s="1794" t="s">
        <v>522</v>
      </c>
      <c r="E14" s="1795" t="s">
        <v>1015</v>
      </c>
      <c r="F14" s="1796">
        <f>SUM(F8:F13)</f>
        <v>5470745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53847</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5618</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3260</v>
      </c>
      <c r="G52" s="866"/>
    </row>
    <row r="53" spans="1:7" x14ac:dyDescent="0.2">
      <c r="A53" s="870" t="s">
        <v>479</v>
      </c>
      <c r="B53" s="870" t="s">
        <v>1551</v>
      </c>
      <c r="C53" s="890">
        <f>'Expenditures 15-22'!B102</f>
        <v>4000</v>
      </c>
      <c r="D53" s="889" t="str">
        <f>'Expenditures 15-22'!A102</f>
        <v>Total Payments to Other Govt Units</v>
      </c>
      <c r="E53" s="869"/>
      <c r="F53" s="1938">
        <f>'Expenditures 15-22'!K102</f>
        <v>385656</v>
      </c>
      <c r="G53" s="866"/>
    </row>
    <row r="54" spans="1:7" x14ac:dyDescent="0.2">
      <c r="A54" s="870" t="s">
        <v>479</v>
      </c>
      <c r="B54" s="870" t="s">
        <v>1552</v>
      </c>
      <c r="C54" s="890" t="s">
        <v>1039</v>
      </c>
      <c r="D54" s="886" t="s">
        <v>1157</v>
      </c>
      <c r="E54" s="869"/>
      <c r="F54" s="1938">
        <f>'Expenditures 15-22'!G114</f>
        <v>26103</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18087</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524184</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3785</v>
      </c>
      <c r="G67" s="866"/>
    </row>
    <row r="68" spans="1:8" x14ac:dyDescent="0.2">
      <c r="A68" s="870" t="s">
        <v>482</v>
      </c>
      <c r="B68" s="870" t="s">
        <v>1555</v>
      </c>
      <c r="C68" s="887" t="str">
        <f>'Expenditures 15-22'!B218</f>
        <v>1225</v>
      </c>
      <c r="D68" s="893" t="str">
        <f>'Expenditures 15-22'!A218</f>
        <v>Special Education Programs - Pre-K</v>
      </c>
      <c r="E68" s="869"/>
      <c r="F68" s="1938">
        <f>'Expenditures 15-22'!K218</f>
        <v>1640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1022180</v>
      </c>
      <c r="G76" s="866"/>
    </row>
    <row r="77" spans="1:8" s="894" customFormat="1" ht="12" customHeight="1" thickTop="1" thickBot="1" x14ac:dyDescent="0.25">
      <c r="A77" s="1800"/>
      <c r="B77" s="1797"/>
      <c r="C77" s="1793"/>
      <c r="D77" s="1798" t="s">
        <v>2012</v>
      </c>
      <c r="E77" s="1795"/>
      <c r="F77" s="1801">
        <f>(F14-F76)</f>
        <v>4448565</v>
      </c>
      <c r="G77" s="870"/>
    </row>
    <row r="78" spans="1:8" s="894" customFormat="1" ht="12" customHeight="1" thickTop="1" x14ac:dyDescent="0.2">
      <c r="A78" s="1802"/>
      <c r="B78" s="1797"/>
      <c r="C78" s="1793"/>
      <c r="D78" s="1798" t="s">
        <v>2059</v>
      </c>
      <c r="E78" s="1795"/>
      <c r="F78" s="899">
        <v>351.86</v>
      </c>
      <c r="G78" s="900"/>
      <c r="H78" s="870"/>
    </row>
    <row r="79" spans="1:8" s="894" customFormat="1" ht="12" customHeight="1" thickBot="1" x14ac:dyDescent="0.25">
      <c r="A79" s="1803"/>
      <c r="B79" s="1797"/>
      <c r="C79" s="1793"/>
      <c r="D79" s="1798" t="s">
        <v>2013</v>
      </c>
      <c r="E79" s="1795" t="s">
        <v>1015</v>
      </c>
      <c r="F79" s="1804">
        <f>IF(F78&gt;0,F77/F78," Complete Line 78")</f>
        <v>12642.99721480134</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4175</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68809</v>
      </c>
      <c r="G94" s="913"/>
    </row>
    <row r="95" spans="1:7" x14ac:dyDescent="0.2">
      <c r="A95" s="909" t="s">
        <v>142</v>
      </c>
      <c r="B95" s="909" t="s">
        <v>177</v>
      </c>
      <c r="C95" s="911">
        <v>1700</v>
      </c>
      <c r="D95" s="919" t="str">
        <f>'Revenues 9-14'!A82</f>
        <v>Total District/School Activity Income</v>
      </c>
      <c r="E95" s="907"/>
      <c r="F95" s="1810">
        <f>SUM('Revenues 9-14'!C82,'Revenues 9-14'!D82)</f>
        <v>24083</v>
      </c>
      <c r="G95" s="913"/>
    </row>
    <row r="96" spans="1:7" x14ac:dyDescent="0.2">
      <c r="A96" s="909" t="s">
        <v>479</v>
      </c>
      <c r="B96" s="909" t="s">
        <v>178</v>
      </c>
      <c r="C96" s="911">
        <f>'Revenues 9-14'!B84</f>
        <v>1811</v>
      </c>
      <c r="D96" s="912" t="str">
        <f>'Revenues 9-14'!A84</f>
        <v>Rentals - Regular Textbooks</v>
      </c>
      <c r="E96" s="907"/>
      <c r="F96" s="1810">
        <f>'Revenues 9-14'!C84</f>
        <v>22636</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5372</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58123</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10553</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807</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4604</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236473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750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9318</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61768</v>
      </c>
      <c r="G129" s="931"/>
    </row>
    <row r="130" spans="1:7" x14ac:dyDescent="0.2">
      <c r="A130" s="928" t="s">
        <v>689</v>
      </c>
      <c r="B130" s="928" t="s">
        <v>804</v>
      </c>
      <c r="C130" s="933">
        <v>4300</v>
      </c>
      <c r="D130" s="934" t="str">
        <f>'Revenues 9-14'!A211</f>
        <v>Total Title I</v>
      </c>
      <c r="E130" s="907"/>
      <c r="F130" s="1810">
        <f>SUM('Revenues 9-14'!C211,'Revenues 9-14'!D211,'Revenues 9-14'!F211,'Revenues 9-14'!G211)</f>
        <v>130475</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70527</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3321</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25738</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4592</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33668</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776642</v>
      </c>
    </row>
    <row r="179" spans="1:7" ht="12" customHeight="1" x14ac:dyDescent="0.2">
      <c r="A179" s="1791"/>
      <c r="B179" s="1805"/>
      <c r="C179" s="1806"/>
      <c r="D179" s="1807" t="s">
        <v>2015</v>
      </c>
      <c r="E179" s="1808"/>
      <c r="F179" s="1810">
        <f>'PCTC-OEPP 27-28'!F77-F178</f>
        <v>3671923</v>
      </c>
    </row>
    <row r="180" spans="1:7" ht="12" customHeight="1" x14ac:dyDescent="0.2">
      <c r="A180" s="1791"/>
      <c r="B180" s="1805"/>
      <c r="C180" s="1806"/>
      <c r="D180" s="1807" t="s">
        <v>1924</v>
      </c>
      <c r="E180" s="1808"/>
      <c r="F180" s="1810">
        <f>'Cap Outlay Deprec 26'!I18</f>
        <v>366578</v>
      </c>
    </row>
    <row r="181" spans="1:7" ht="12" customHeight="1" x14ac:dyDescent="0.2">
      <c r="A181" s="1791"/>
      <c r="B181" s="1805"/>
      <c r="C181" s="1806"/>
      <c r="D181" s="1807" t="s">
        <v>2016</v>
      </c>
      <c r="E181" s="1808"/>
      <c r="F181" s="1810">
        <f>F179+F180</f>
        <v>4038501</v>
      </c>
    </row>
    <row r="182" spans="1:7" ht="12" customHeight="1" x14ac:dyDescent="0.2">
      <c r="A182" s="1791"/>
      <c r="B182" s="1811"/>
      <c r="C182" s="1806"/>
      <c r="D182" s="1807" t="str">
        <f>D78</f>
        <v>9 Month ADA from District Average Daily Attendance/Prior General State Aid Inquiry 2017-2018</v>
      </c>
      <c r="E182" s="1808"/>
      <c r="F182" s="1812">
        <f>'PCTC-OEPP 27-28'!F78</f>
        <v>351.86</v>
      </c>
      <c r="G182" s="931"/>
    </row>
    <row r="183" spans="1:7" ht="12" customHeight="1" thickBot="1" x14ac:dyDescent="0.25">
      <c r="A183" s="1791"/>
      <c r="B183" s="1811"/>
      <c r="C183" s="1806"/>
      <c r="D183" s="1807" t="s">
        <v>2017</v>
      </c>
      <c r="E183" s="1808" t="s">
        <v>1626</v>
      </c>
      <c r="F183" s="1813">
        <f>F181/F182</f>
        <v>11477.579150798612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I18" sqref="I18:S18"/>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5" t="s">
        <v>1926</v>
      </c>
      <c r="B6" s="1556"/>
      <c r="C6" s="1556"/>
      <c r="D6" s="1556"/>
      <c r="E6" s="1556"/>
      <c r="F6" s="1556"/>
      <c r="G6" s="1557"/>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8" t="s">
        <v>1927</v>
      </c>
      <c r="B10" s="1559"/>
      <c r="C10" s="1559"/>
      <c r="D10" s="1559"/>
      <c r="E10" s="1559"/>
      <c r="F10" s="1559"/>
      <c r="G10" s="1560"/>
    </row>
    <row r="11" spans="1:7" ht="17.25" customHeight="1" x14ac:dyDescent="0.25">
      <c r="A11" s="2305" t="s">
        <v>1941</v>
      </c>
      <c r="B11" s="2306"/>
      <c r="C11" s="2306"/>
      <c r="D11" s="2306"/>
      <c r="E11" s="2306"/>
      <c r="F11" s="2306"/>
      <c r="G11" s="2307"/>
    </row>
    <row r="12" spans="1:7" ht="15" customHeight="1" x14ac:dyDescent="0.25">
      <c r="A12" s="1558" t="s">
        <v>1932</v>
      </c>
      <c r="B12" s="1559"/>
      <c r="C12" s="1559"/>
      <c r="D12" s="1559"/>
      <c r="E12" s="1559"/>
      <c r="F12" s="1559"/>
      <c r="G12" s="1560"/>
    </row>
    <row r="13" spans="1:7" ht="32.25" customHeight="1" x14ac:dyDescent="0.25">
      <c r="A13" s="2296" t="s">
        <v>1933</v>
      </c>
      <c r="B13" s="2297"/>
      <c r="C13" s="2297"/>
      <c r="D13" s="2297"/>
      <c r="E13" s="2297"/>
      <c r="F13" s="2297"/>
      <c r="G13" s="2298"/>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2" t="s">
        <v>2126</v>
      </c>
      <c r="B17" s="1955" t="s">
        <v>2100</v>
      </c>
      <c r="C17" s="1956" t="s">
        <v>2101</v>
      </c>
      <c r="D17" s="1866">
        <v>49832</v>
      </c>
      <c r="E17" s="1561">
        <f t="shared" ref="E17:E141" si="1">IF(D17&lt;=25000,D17,IF(D17&gt;25000,25000,0))</f>
        <v>25000</v>
      </c>
      <c r="F17" s="1814">
        <f t="shared" si="0"/>
        <v>25000</v>
      </c>
      <c r="G17" s="1815">
        <f>IF(F17=0,0,D17-F17)</f>
        <v>24832</v>
      </c>
      <c r="H17" s="1668"/>
    </row>
    <row r="18" spans="1:8" x14ac:dyDescent="0.25">
      <c r="A18" s="1962" t="s">
        <v>2127</v>
      </c>
      <c r="B18" s="1955" t="s">
        <v>2102</v>
      </c>
      <c r="C18" s="1956" t="s">
        <v>2103</v>
      </c>
      <c r="D18" s="1866">
        <v>307943</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282943</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357775</v>
      </c>
      <c r="E141" s="1562">
        <f t="shared" si="1"/>
        <v>25000</v>
      </c>
      <c r="F141" s="1816">
        <f>SUM(F17:F140)</f>
        <v>50000</v>
      </c>
      <c r="G141" s="1817">
        <f>SUM(G17:G140)</f>
        <v>307775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I18" sqref="I18:S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63532</v>
      </c>
      <c r="F10" s="975"/>
      <c r="G10" s="976"/>
      <c r="H10" s="162"/>
      <c r="I10" s="162"/>
    </row>
    <row r="11" spans="1:9" s="669" customFormat="1" ht="22.5" customHeight="1" x14ac:dyDescent="0.2">
      <c r="A11" s="2316" t="s">
        <v>1945</v>
      </c>
      <c r="B11" s="2317"/>
      <c r="C11" s="2317"/>
      <c r="D11" s="2318"/>
      <c r="E11" s="978">
        <v>15393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2750288</v>
      </c>
      <c r="F19" s="1821"/>
      <c r="G19" s="1823">
        <f>'Expenditures 15-22'!K33-SUM('Expenditures 15-22'!G33,'Expenditures 15-22'!I33)+'Expenditures 15-22'!D229</f>
        <v>2750288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141001</v>
      </c>
      <c r="F21" s="1824"/>
      <c r="G21" s="1827">
        <f>'Expenditures 15-22'!K42-SUM('Expenditures 15-22'!G42,'Expenditures 15-22'!I42)+'Expenditures 15-22'!K120-SUM('Expenditures 15-22'!G120,'Expenditures 15-22'!I120)+'Expenditures 15-22'!K180-SUM('Expenditures 15-22'!G180,'Expenditures 15-22'!I180)+'Expenditures 15-22'!D238</f>
        <v>141001</v>
      </c>
      <c r="H21" s="988"/>
      <c r="I21" s="162"/>
    </row>
    <row r="22" spans="1:9" s="669" customFormat="1" ht="12" customHeight="1" x14ac:dyDescent="0.2">
      <c r="A22" s="995" t="s">
        <v>585</v>
      </c>
      <c r="B22" s="996"/>
      <c r="C22" s="994">
        <v>2200</v>
      </c>
      <c r="D22" s="1824"/>
      <c r="E22" s="1826">
        <f>'Expenditures 15-22'!K47-SUM('Expenditures 15-22'!G47,'Expenditures 15-22'!I47)+'Expenditures 15-22'!D243</f>
        <v>42784</v>
      </c>
      <c r="F22" s="1824"/>
      <c r="G22" s="1827">
        <f>'Expenditures 15-22'!K47-SUM('Expenditures 15-22'!G47,'Expenditures 15-22'!I47)+'Expenditures 15-22'!D243</f>
        <v>42784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258537</v>
      </c>
      <c r="F23" s="1824"/>
      <c r="G23" s="1826">
        <f>'Expenditures 15-22'!K53-SUM('Expenditures 15-22'!G53,'Expenditures 15-22'!I53)+'Expenditures 15-22'!D257+'Expenditures 15-22'!K330-SUM('Expenditures 15-22'!G330,'Expenditures 15-22'!I330)</f>
        <v>258537</v>
      </c>
      <c r="H23" s="988"/>
      <c r="I23" s="162"/>
    </row>
    <row r="24" spans="1:9" s="669" customFormat="1" ht="12" customHeight="1" x14ac:dyDescent="0.2">
      <c r="A24" s="995" t="s">
        <v>587</v>
      </c>
      <c r="B24" s="996"/>
      <c r="C24" s="994">
        <v>2400</v>
      </c>
      <c r="D24" s="1824"/>
      <c r="E24" s="1826">
        <f>'Expenditures 15-22'!K57-SUM('Expenditures 15-22'!G57,'Expenditures 15-22'!I57)+'Expenditures 15-22'!D261</f>
        <v>274838</v>
      </c>
      <c r="F24" s="1824"/>
      <c r="G24" s="1827">
        <f>'Expenditures 15-22'!K57-SUM('Expenditures 15-22'!G57,'Expenditures 15-22'!I57)+'Expenditures 15-22'!D261</f>
        <v>274838</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61355</v>
      </c>
      <c r="E27" s="1826">
        <f>E8</f>
        <v>0</v>
      </c>
      <c r="F27" s="1826">
        <f>'Expenditures 15-22'!K60-SUM('Expenditures 15-22'!G60,'Expenditures 15-22'!I60)+'Expenditures 15-22'!D264-E8</f>
        <v>61355</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360638</v>
      </c>
      <c r="F28" s="1828">
        <f>'Expenditures 15-22'!K61-SUM('Expenditures 15-22'!G61,'Expenditures 15-22'!I61)+'Expenditures 15-22'!K124-SUM('Expenditures 15-22'!G124,'Expenditures 15-22'!I124)+'Expenditures 15-22'!D266-E9</f>
        <v>360638</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378451</v>
      </c>
      <c r="F29" s="1824"/>
      <c r="G29" s="1827">
        <f>'Expenditures 15-22'!K62-SUM('Expenditures 15-22'!G62,'Expenditures 15-22'!I62)+'Expenditures 15-22'!K125-SUM('Expenditures 15-22'!G125,'Expenditures 15-22'!I125)+'Expenditures 15-22'!K182-SUM('Expenditures 15-22'!G182,'Expenditures 15-22'!I182)+'Expenditures 15-22'!D267</f>
        <v>378451</v>
      </c>
      <c r="H29" s="986"/>
    </row>
    <row r="30" spans="1:9" ht="12" customHeight="1" x14ac:dyDescent="0.2">
      <c r="A30" s="995" t="s">
        <v>102</v>
      </c>
      <c r="B30" s="998"/>
      <c r="C30" s="994">
        <v>2560</v>
      </c>
      <c r="D30" s="1824"/>
      <c r="E30" s="1826">
        <f>'Expenditures 15-22'!K63-SUM('Expenditures 15-22'!G63,'Expenditures 15-22'!I63)+'Expenditures 15-22'!D268-E10</f>
        <v>75336</v>
      </c>
      <c r="F30" s="1824"/>
      <c r="G30" s="1826">
        <f>'Expenditures 15-22'!K63-SUM('Expenditures 15-22'!G63,'Expenditures 15-22'!I63)+'Expenditures 15-22'!D268-E10</f>
        <v>75336</v>
      </c>
    </row>
    <row r="31" spans="1:9" ht="12" customHeight="1" x14ac:dyDescent="0.2">
      <c r="A31" s="995" t="s">
        <v>103</v>
      </c>
      <c r="B31" s="998"/>
      <c r="C31" s="994">
        <v>2570</v>
      </c>
      <c r="D31" s="1826">
        <f>'Expenditures 15-22'!K64-SUM('Expenditures 15-22'!G64,'Expenditures 15-22'!I64)+'Expenditures 15-22'!D269-E12</f>
        <v>12870</v>
      </c>
      <c r="E31" s="1826">
        <f>E12</f>
        <v>0</v>
      </c>
      <c r="F31" s="1826">
        <f>'Expenditures 15-22'!K64-SUM('Expenditures 15-22'!G64,'Expenditures 15-22'!I64)+'Expenditures 15-22'!D269-E12</f>
        <v>12870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9812</v>
      </c>
      <c r="F38" s="1824"/>
      <c r="G38" s="1826">
        <f>'Expenditures 15-22'!K73-SUM('Expenditures 15-22'!G73,'Expenditures 15-22'!I73)+'Expenditures 15-22'!K128-SUM('Expenditures 15-22'!G128,'Expenditures 15-22'!I128)+'Expenditures 15-22'!K183-SUM('Expenditures 15-22'!G183,'Expenditures 15-22'!I183)+'Expenditures 15-22'!D278</f>
        <v>9812</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3260</v>
      </c>
      <c r="F39" s="1824"/>
      <c r="G39" s="1826">
        <f>'Expenditures 15-22'!K75-SUM('Expenditures 15-22'!G75,'Expenditures 15-22'!I75)+'Expenditures 15-22'!K130-SUM('Expenditures 15-22'!G130,'Expenditures 15-22'!I130)+'Expenditures 15-22'!K185-SUM('Expenditures 15-22'!G185,'Expenditures 15-22'!I185)+'Expenditures 15-22'!D280</f>
        <v>3260</v>
      </c>
    </row>
    <row r="40" spans="1:7" ht="12" customHeight="1" x14ac:dyDescent="0.2">
      <c r="A40" s="991" t="s">
        <v>1930</v>
      </c>
      <c r="B40" s="992"/>
      <c r="C40" s="994"/>
      <c r="D40" s="1824"/>
      <c r="E40" s="1828">
        <f>-'Contracts Paid in CY 29'!G141</f>
        <v>-307775</v>
      </c>
      <c r="F40" s="1824"/>
      <c r="G40" s="1828">
        <f>-'Contracts Paid in CY 29'!G141</f>
        <v>-307775</v>
      </c>
    </row>
    <row r="41" spans="1:7" ht="12" customHeight="1" x14ac:dyDescent="0.2">
      <c r="A41" s="999" t="s">
        <v>158</v>
      </c>
      <c r="B41" s="1000"/>
      <c r="C41" s="1001"/>
      <c r="D41" s="1828">
        <f>SUM(D19:D39)</f>
        <v>74225</v>
      </c>
      <c r="E41" s="1828">
        <f>SUM(E19:E40)</f>
        <v>3987170</v>
      </c>
      <c r="F41" s="1828">
        <f>SUM(F19:F39)</f>
        <v>434863</v>
      </c>
      <c r="G41" s="1828">
        <f>SUM(G19:G40)</f>
        <v>3626532</v>
      </c>
    </row>
    <row r="42" spans="1:7" x14ac:dyDescent="0.2">
      <c r="A42" s="988"/>
      <c r="B42" s="162"/>
      <c r="C42" s="1002"/>
      <c r="D42" s="2314" t="s">
        <v>543</v>
      </c>
      <c r="E42" s="2315"/>
      <c r="F42" s="1003" t="s">
        <v>544</v>
      </c>
      <c r="G42" s="1004"/>
    </row>
    <row r="43" spans="1:7" ht="12" customHeight="1" x14ac:dyDescent="0.2">
      <c r="A43" s="988"/>
      <c r="B43" s="162"/>
      <c r="C43" s="1002"/>
      <c r="D43" s="1829" t="s">
        <v>493</v>
      </c>
      <c r="E43" s="1830">
        <f>D41</f>
        <v>74225</v>
      </c>
      <c r="F43" s="1829" t="s">
        <v>495</v>
      </c>
      <c r="G43" s="1830">
        <f>F41</f>
        <v>434863</v>
      </c>
    </row>
    <row r="44" spans="1:7" ht="12" customHeight="1" x14ac:dyDescent="0.2">
      <c r="A44" s="988"/>
      <c r="B44" s="162"/>
      <c r="C44" s="1002"/>
      <c r="D44" s="1829" t="s">
        <v>494</v>
      </c>
      <c r="E44" s="1830">
        <f>E41</f>
        <v>3987170</v>
      </c>
      <c r="F44" s="1829" t="s">
        <v>494</v>
      </c>
      <c r="G44" s="1830">
        <f>G41</f>
        <v>3626532</v>
      </c>
    </row>
    <row r="45" spans="1:7" ht="12" customHeight="1" x14ac:dyDescent="0.2">
      <c r="A45" s="988"/>
      <c r="B45" s="162"/>
      <c r="C45" s="162"/>
      <c r="D45" s="1831" t="s">
        <v>1063</v>
      </c>
      <c r="E45" s="1832">
        <f>(E43/E44)</f>
        <v>1.8615960693925768E-2</v>
      </c>
      <c r="F45" s="1831" t="s">
        <v>1063</v>
      </c>
      <c r="G45" s="1832">
        <f>(G43/G44)</f>
        <v>0.11991152980312872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I18" sqref="I18:S18"/>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4" t="s">
        <v>1446</v>
      </c>
      <c r="B1" s="2334"/>
      <c r="C1" s="2334"/>
      <c r="D1" s="2334"/>
      <c r="E1" s="2334"/>
      <c r="F1" s="2334"/>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5" t="s">
        <v>1627</v>
      </c>
      <c r="B5" s="2336"/>
      <c r="C5" s="2337"/>
      <c r="D5" s="2337"/>
      <c r="E5" s="2337"/>
      <c r="F5" s="2337"/>
    </row>
    <row r="6" spans="1:10" ht="12" customHeight="1" x14ac:dyDescent="0.25">
      <c r="A6" s="1874"/>
      <c r="B6" s="1875"/>
      <c r="C6" s="2338" t="str">
        <f>COVER!A17</f>
        <v>Warren CUSD 205</v>
      </c>
      <c r="D6" s="2338"/>
      <c r="E6" s="2338"/>
      <c r="F6" s="1876"/>
    </row>
    <row r="7" spans="1:10" ht="11.25" customHeight="1" thickBot="1" x14ac:dyDescent="0.3">
      <c r="A7" s="1874"/>
      <c r="B7" s="1875"/>
      <c r="C7" s="2339">
        <f>COVER!A13</f>
        <v>8043205026</v>
      </c>
      <c r="D7" s="2339"/>
      <c r="E7" s="2339"/>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2089</v>
      </c>
      <c r="D26" s="1889" t="s">
        <v>2089</v>
      </c>
      <c r="E26" s="1892" t="s">
        <v>2089</v>
      </c>
      <c r="F26" s="1891" t="s">
        <v>2104</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2089</v>
      </c>
      <c r="D28" s="1889" t="s">
        <v>2089</v>
      </c>
      <c r="E28" s="1892" t="s">
        <v>2089</v>
      </c>
      <c r="F28" s="1891" t="s">
        <v>2105</v>
      </c>
      <c r="H28" s="1902">
        <f t="shared" si="0"/>
        <v>5</v>
      </c>
      <c r="I28" s="1902">
        <f t="shared" si="1"/>
        <v>5</v>
      </c>
      <c r="J28" s="1902">
        <f t="shared" si="2"/>
        <v>5</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2089</v>
      </c>
      <c r="D31" s="1889" t="s">
        <v>2089</v>
      </c>
      <c r="E31" s="1892" t="s">
        <v>2089</v>
      </c>
      <c r="F31" s="1891" t="s">
        <v>2106</v>
      </c>
      <c r="H31" s="1902">
        <f t="shared" si="0"/>
        <v>5</v>
      </c>
      <c r="I31" s="1902">
        <f t="shared" si="1"/>
        <v>5</v>
      </c>
      <c r="J31" s="1902">
        <f t="shared" si="2"/>
        <v>5</v>
      </c>
      <c r="L31" s="1893"/>
    </row>
    <row r="32" spans="1:12" ht="12" customHeight="1" x14ac:dyDescent="0.2">
      <c r="A32" s="1887" t="s">
        <v>1621</v>
      </c>
      <c r="B32" s="1888"/>
      <c r="C32" s="1889" t="s">
        <v>2089</v>
      </c>
      <c r="D32" s="1889" t="s">
        <v>2089</v>
      </c>
      <c r="E32" s="1892" t="s">
        <v>2089</v>
      </c>
      <c r="F32" s="1891" t="s">
        <v>2107</v>
      </c>
      <c r="H32" s="1902">
        <f t="shared" si="0"/>
        <v>5</v>
      </c>
      <c r="I32" s="1902">
        <f t="shared" si="1"/>
        <v>5</v>
      </c>
      <c r="J32" s="1902">
        <f t="shared" si="2"/>
        <v>5</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20</v>
      </c>
      <c r="I34" s="1902">
        <f>SUM(I11:I32)</f>
        <v>20</v>
      </c>
      <c r="J34" s="1902">
        <f>SUM(J11:J32)</f>
        <v>20</v>
      </c>
      <c r="K34" s="1902">
        <f>SUM(H34:J34)</f>
        <v>60</v>
      </c>
    </row>
    <row r="35" spans="1:11" ht="12" customHeight="1" x14ac:dyDescent="0.2">
      <c r="A35" s="1895" t="s">
        <v>1459</v>
      </c>
      <c r="B35" s="1896"/>
      <c r="C35" s="2340"/>
      <c r="D35" s="2340"/>
      <c r="E35" s="2340"/>
      <c r="F35" s="2341"/>
    </row>
    <row r="36" spans="1:11" ht="12" customHeight="1" x14ac:dyDescent="0.2">
      <c r="A36" s="2333" t="s">
        <v>2123</v>
      </c>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7"/>
      <c r="B39" s="1897"/>
      <c r="C39" s="1897"/>
      <c r="D39" s="1897"/>
      <c r="E39" s="1897"/>
      <c r="F39" s="1897"/>
    </row>
    <row r="40" spans="1:11" s="1894" customFormat="1" ht="12" customHeight="1" x14ac:dyDescent="0.25">
      <c r="A40" s="1898" t="s">
        <v>1458</v>
      </c>
      <c r="B40" s="1899"/>
      <c r="C40" s="2328"/>
      <c r="D40" s="2328"/>
      <c r="E40" s="2328"/>
      <c r="F40" s="2329"/>
      <c r="H40" s="1903"/>
      <c r="I40" s="1903"/>
      <c r="J40" s="1903"/>
      <c r="K40" s="1903"/>
    </row>
    <row r="41" spans="1:11" s="1894" customFormat="1" ht="12" customHeight="1" x14ac:dyDescent="0.25">
      <c r="A41" s="2330"/>
      <c r="B41" s="2331"/>
      <c r="C41" s="2331"/>
      <c r="D41" s="2331"/>
      <c r="E41" s="2331"/>
      <c r="F41" s="2332"/>
      <c r="H41" s="1903"/>
      <c r="I41" s="1903"/>
      <c r="J41" s="1903"/>
      <c r="K41" s="1903"/>
    </row>
    <row r="42" spans="1:11" s="1894" customFormat="1" ht="12" customHeight="1" x14ac:dyDescent="0.25">
      <c r="A42" s="2330"/>
      <c r="B42" s="2331"/>
      <c r="C42" s="2331"/>
      <c r="D42" s="2331"/>
      <c r="E42" s="2331"/>
      <c r="F42" s="2332"/>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8" sqref="I18:S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7" t="str">
        <f>COVER!A17</f>
        <v>Warren CUSD 205</v>
      </c>
      <c r="J6" s="2348"/>
      <c r="Q6" s="1685"/>
    </row>
    <row r="7" spans="1:17" x14ac:dyDescent="0.2">
      <c r="A7" s="2349" t="s">
        <v>924</v>
      </c>
      <c r="B7" s="2350"/>
      <c r="C7" s="2350"/>
      <c r="D7" s="2350"/>
      <c r="E7" s="2351"/>
      <c r="F7" s="1018"/>
      <c r="G7" s="1010"/>
      <c r="H7" s="1017" t="s">
        <v>390</v>
      </c>
      <c r="I7" s="2352">
        <f>COVER!A13</f>
        <v>8043205026</v>
      </c>
      <c r="J7" s="2352"/>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3" t="s">
        <v>502</v>
      </c>
      <c r="B11" s="2354"/>
      <c r="C11" s="235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72443</v>
      </c>
      <c r="F12" s="1040"/>
      <c r="G12" s="1833">
        <f t="shared" ref="G12:G18" si="0">SUM(E12:F12)</f>
        <v>72443</v>
      </c>
      <c r="H12" s="1041">
        <v>76311</v>
      </c>
      <c r="I12" s="1040"/>
      <c r="J12" s="1833">
        <f t="shared" ref="J12:J18" si="1">SUM(H12:I12)</f>
        <v>76311</v>
      </c>
    </row>
    <row r="13" spans="1:17" ht="15" customHeight="1" x14ac:dyDescent="0.2">
      <c r="A13" s="1036">
        <v>2</v>
      </c>
      <c r="B13" s="1037" t="s">
        <v>44</v>
      </c>
      <c r="C13" s="1038"/>
      <c r="D13" s="1039">
        <v>2330</v>
      </c>
      <c r="E13" s="1833">
        <f>'Expenditures 15-22'!K51</f>
        <v>1046</v>
      </c>
      <c r="F13" s="1040"/>
      <c r="G13" s="1833">
        <f t="shared" si="0"/>
        <v>1046</v>
      </c>
      <c r="H13" s="1041">
        <v>1252</v>
      </c>
      <c r="I13" s="1040"/>
      <c r="J13" s="1833">
        <f t="shared" si="1"/>
        <v>1252</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12870</v>
      </c>
      <c r="F16" s="1040"/>
      <c r="G16" s="1833">
        <f t="shared" si="0"/>
        <v>12870</v>
      </c>
      <c r="H16" s="1041">
        <v>12800</v>
      </c>
      <c r="I16" s="1040"/>
      <c r="J16" s="1833">
        <f t="shared" si="1"/>
        <v>12800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6" t="s">
        <v>7</v>
      </c>
      <c r="C18" s="2357"/>
      <c r="D18" s="235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86359</v>
      </c>
      <c r="F19" s="1835">
        <f t="shared" si="2"/>
        <v>0</v>
      </c>
      <c r="G19" s="1835">
        <f t="shared" si="2"/>
        <v>86359</v>
      </c>
      <c r="H19" s="1835">
        <f t="shared" si="2"/>
        <v>90363</v>
      </c>
      <c r="I19" s="1835">
        <f t="shared" si="2"/>
        <v>0</v>
      </c>
      <c r="J19" s="1835">
        <f t="shared" si="2"/>
        <v>90363</v>
      </c>
    </row>
    <row r="20" spans="1:10" ht="13.5" thickTop="1" x14ac:dyDescent="0.2">
      <c r="A20" s="1036">
        <v>9</v>
      </c>
      <c r="B20" s="2359" t="s">
        <v>1703</v>
      </c>
      <c r="C20" s="2359"/>
      <c r="D20" s="2360"/>
      <c r="E20" s="1047"/>
      <c r="F20" s="1047"/>
      <c r="G20" s="1047"/>
      <c r="H20" s="1047"/>
      <c r="I20" s="1047"/>
      <c r="J20" s="1836">
        <f>IF(AND(G19&gt;0,J19&gt;0),(((J19-G19)/G19)),"Enter Budget Data")</f>
        <v>4.6364594309799792E-2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1093</v>
      </c>
      <c r="D27" s="1053"/>
      <c r="E27" s="1054"/>
      <c r="F27" s="2361" t="s">
        <v>1589</v>
      </c>
      <c r="G27" s="2361"/>
    </row>
    <row r="28" spans="1:10" ht="28.5" customHeight="1" x14ac:dyDescent="0.2">
      <c r="B28" s="1048"/>
      <c r="C28" s="2363"/>
      <c r="D28" s="2363"/>
      <c r="E28" s="1055"/>
      <c r="F28" s="2363"/>
      <c r="G28" s="2363"/>
    </row>
    <row r="29" spans="1:10" x14ac:dyDescent="0.2">
      <c r="B29" s="1048"/>
      <c r="C29" s="1056" t="s">
        <v>1642</v>
      </c>
      <c r="E29" s="1057"/>
      <c r="F29" s="2362" t="s">
        <v>1590</v>
      </c>
      <c r="G29" s="236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1944</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937</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13" zoomScale="110" zoomScaleNormal="110" workbookViewId="0">
      <selection activeCell="I18" sqref="I18:S18"/>
    </sheetView>
  </sheetViews>
  <sheetFormatPr defaultRowHeight="12.75" x14ac:dyDescent="0.2"/>
  <cols>
    <col min="1" max="1" width="3" style="329" customWidth="1"/>
    <col min="2" max="2" width="11.7109375" style="1966" customWidth="1"/>
    <col min="3" max="3" width="8.5703125" style="1966" customWidth="1"/>
    <col min="4" max="4" width="10.5703125" style="1966" customWidth="1"/>
    <col min="5" max="5" width="11.28515625" style="1966" customWidth="1"/>
    <col min="6" max="6" width="32.85546875" style="391" customWidth="1"/>
    <col min="7" max="7" width="11" style="391" bestFit="1" customWidth="1"/>
    <col min="8" max="16384" width="9.140625" style="329"/>
  </cols>
  <sheetData>
    <row r="2" spans="1:7" x14ac:dyDescent="0.2">
      <c r="A2" s="389" t="s">
        <v>276</v>
      </c>
    </row>
    <row r="3" spans="1:7" x14ac:dyDescent="0.2">
      <c r="A3" s="329" t="s">
        <v>277</v>
      </c>
    </row>
    <row r="5" spans="1:7" x14ac:dyDescent="0.2">
      <c r="A5" s="1069"/>
      <c r="B5" s="1967" t="s">
        <v>2108</v>
      </c>
      <c r="C5" s="1967" t="s">
        <v>2109</v>
      </c>
      <c r="D5" s="1967" t="s">
        <v>2110</v>
      </c>
      <c r="E5" s="1967" t="s">
        <v>2111</v>
      </c>
      <c r="F5" s="1957" t="s">
        <v>2112</v>
      </c>
      <c r="G5" s="1957" t="s">
        <v>2113</v>
      </c>
    </row>
    <row r="6" spans="1:7" x14ac:dyDescent="0.2">
      <c r="A6" s="1069"/>
      <c r="B6" s="1966">
        <v>1290</v>
      </c>
      <c r="C6" s="1966">
        <v>9</v>
      </c>
      <c r="D6" s="1966">
        <v>10</v>
      </c>
      <c r="E6" s="1966">
        <v>17</v>
      </c>
      <c r="F6" s="391" t="s">
        <v>2134</v>
      </c>
      <c r="G6" s="1965">
        <v>14850</v>
      </c>
    </row>
    <row r="7" spans="1:7" x14ac:dyDescent="0.2">
      <c r="A7" s="1069"/>
      <c r="F7" s="391" t="s">
        <v>2114</v>
      </c>
      <c r="G7" s="1959">
        <v>3189</v>
      </c>
    </row>
    <row r="8" spans="1:7" ht="13.5" thickBot="1" x14ac:dyDescent="0.25">
      <c r="A8" s="1069"/>
      <c r="G8" s="1960">
        <f>SUM(G6:G7)</f>
        <v>18039</v>
      </c>
    </row>
    <row r="9" spans="1:7" ht="13.5" thickTop="1" x14ac:dyDescent="0.2">
      <c r="A9" s="1070"/>
    </row>
    <row r="10" spans="1:7" ht="13.5" thickBot="1" x14ac:dyDescent="0.25">
      <c r="A10" s="1070"/>
      <c r="B10" s="1966">
        <v>1690</v>
      </c>
      <c r="C10" s="1966">
        <v>10</v>
      </c>
      <c r="D10" s="1966">
        <v>10</v>
      </c>
      <c r="E10" s="1966">
        <v>74</v>
      </c>
      <c r="F10" s="391" t="s">
        <v>2133</v>
      </c>
      <c r="G10" s="1960">
        <v>295</v>
      </c>
    </row>
    <row r="11" spans="1:7" ht="13.5" thickTop="1" x14ac:dyDescent="0.2">
      <c r="A11" s="1070"/>
    </row>
    <row r="12" spans="1:7" ht="13.5" thickBot="1" x14ac:dyDescent="0.25">
      <c r="A12" s="1070"/>
      <c r="B12" s="1966">
        <v>1719</v>
      </c>
      <c r="C12" s="1966">
        <v>10</v>
      </c>
      <c r="D12" s="1966">
        <v>10</v>
      </c>
      <c r="E12" s="1966">
        <v>78</v>
      </c>
      <c r="F12" s="391" t="s">
        <v>2132</v>
      </c>
      <c r="G12" s="1960">
        <v>6983</v>
      </c>
    </row>
    <row r="13" spans="1:7" ht="13.5" thickTop="1" x14ac:dyDescent="0.2">
      <c r="A13" s="1070"/>
    </row>
    <row r="14" spans="1:7" ht="13.5" thickBot="1" x14ac:dyDescent="0.25">
      <c r="A14" s="1070"/>
      <c r="B14" s="1966">
        <v>3999</v>
      </c>
      <c r="C14" s="1966">
        <v>12</v>
      </c>
      <c r="D14" s="1966">
        <v>10</v>
      </c>
      <c r="E14" s="1966">
        <v>171</v>
      </c>
      <c r="F14" s="391" t="s">
        <v>2131</v>
      </c>
      <c r="G14" s="1960">
        <v>750</v>
      </c>
    </row>
    <row r="15" spans="1:7" ht="13.5" thickTop="1" x14ac:dyDescent="0.2">
      <c r="A15" s="1070"/>
    </row>
    <row r="16" spans="1:7" ht="13.5" thickBot="1" x14ac:dyDescent="0.25">
      <c r="A16" s="1070"/>
      <c r="B16" s="1966">
        <v>4090</v>
      </c>
      <c r="C16" s="1966">
        <v>12</v>
      </c>
      <c r="D16" s="1966">
        <v>10</v>
      </c>
      <c r="E16" s="1966">
        <v>183</v>
      </c>
      <c r="F16" s="391" t="s">
        <v>2129</v>
      </c>
      <c r="G16" s="1960">
        <v>9318</v>
      </c>
    </row>
    <row r="17" spans="1:7" ht="13.5" thickTop="1" x14ac:dyDescent="0.2">
      <c r="A17" s="1070"/>
    </row>
    <row r="18" spans="1:7" ht="13.5" thickBot="1" x14ac:dyDescent="0.25">
      <c r="A18" s="1070"/>
      <c r="B18" s="1966">
        <v>4799</v>
      </c>
      <c r="C18" s="1966">
        <v>13</v>
      </c>
      <c r="D18" s="1966">
        <v>10</v>
      </c>
      <c r="E18" s="1966">
        <v>227</v>
      </c>
      <c r="F18" s="391" t="s">
        <v>2130</v>
      </c>
      <c r="G18" s="1960">
        <v>758</v>
      </c>
    </row>
    <row r="19" spans="1:7" ht="13.5" thickTop="1" x14ac:dyDescent="0.2">
      <c r="A19" s="1070"/>
    </row>
    <row r="20" spans="1:7" x14ac:dyDescent="0.2">
      <c r="A20" s="1070"/>
      <c r="B20" s="1966">
        <v>2190</v>
      </c>
      <c r="C20" s="1966">
        <v>15</v>
      </c>
      <c r="D20" s="1966">
        <v>10</v>
      </c>
      <c r="E20" s="1966">
        <v>41</v>
      </c>
      <c r="F20" s="391" t="s">
        <v>2115</v>
      </c>
      <c r="G20" s="1965">
        <v>1500</v>
      </c>
    </row>
    <row r="21" spans="1:7" x14ac:dyDescent="0.2">
      <c r="A21" s="1070"/>
      <c r="F21" s="391" t="s">
        <v>2116</v>
      </c>
      <c r="G21" s="1958">
        <v>121</v>
      </c>
    </row>
    <row r="22" spans="1:7" x14ac:dyDescent="0.2">
      <c r="A22" s="1070"/>
      <c r="F22" s="391" t="s">
        <v>2117</v>
      </c>
      <c r="G22" s="1958">
        <v>11928</v>
      </c>
    </row>
    <row r="23" spans="1:7" x14ac:dyDescent="0.2">
      <c r="A23" s="1070"/>
      <c r="F23" s="391" t="s">
        <v>2118</v>
      </c>
      <c r="G23" s="1959">
        <v>783</v>
      </c>
    </row>
    <row r="24" spans="1:7" ht="13.5" thickBot="1" x14ac:dyDescent="0.25">
      <c r="A24" s="1070"/>
      <c r="G24" s="1960">
        <f>SUM(G20:G23)</f>
        <v>14332</v>
      </c>
    </row>
    <row r="25" spans="1:7" ht="13.5" thickTop="1" x14ac:dyDescent="0.2">
      <c r="A25" s="1070"/>
    </row>
    <row r="26" spans="1:7" x14ac:dyDescent="0.2">
      <c r="A26" s="1070"/>
      <c r="B26" s="1966">
        <v>2900</v>
      </c>
      <c r="C26" s="1966">
        <v>18</v>
      </c>
      <c r="D26" s="1966">
        <v>40</v>
      </c>
      <c r="E26" s="1966">
        <v>183</v>
      </c>
      <c r="F26" s="391" t="s">
        <v>2119</v>
      </c>
      <c r="G26" s="1965">
        <v>7851</v>
      </c>
    </row>
    <row r="27" spans="1:7" x14ac:dyDescent="0.2">
      <c r="A27" s="1070"/>
      <c r="F27" s="391" t="s">
        <v>2120</v>
      </c>
      <c r="G27" s="1959">
        <v>1923</v>
      </c>
    </row>
    <row r="28" spans="1:7" ht="13.5" thickBot="1" x14ac:dyDescent="0.25">
      <c r="A28" s="1070"/>
      <c r="G28" s="1960">
        <f>SUM(G26:G27)</f>
        <v>9774</v>
      </c>
    </row>
    <row r="29" spans="1:7" ht="13.5" thickTop="1" x14ac:dyDescent="0.2">
      <c r="A29" s="1070"/>
    </row>
    <row r="30" spans="1:7" ht="13.5" thickBot="1" x14ac:dyDescent="0.25">
      <c r="A30" s="1070"/>
      <c r="B30" s="1966">
        <v>2190</v>
      </c>
      <c r="C30" s="1966">
        <v>19</v>
      </c>
      <c r="D30" s="1966">
        <v>50</v>
      </c>
      <c r="E30" s="1966">
        <v>237</v>
      </c>
      <c r="F30" s="391" t="s">
        <v>2135</v>
      </c>
      <c r="G30" s="1960">
        <v>22</v>
      </c>
    </row>
    <row r="31" spans="1:7" ht="13.5" thickTop="1" x14ac:dyDescent="0.2">
      <c r="A31" s="1070"/>
      <c r="G31" s="1961"/>
    </row>
    <row r="32" spans="1:7" ht="13.5" thickBot="1" x14ac:dyDescent="0.25">
      <c r="A32" s="1070"/>
      <c r="C32" s="1968">
        <v>25</v>
      </c>
      <c r="D32" s="1968">
        <v>60</v>
      </c>
      <c r="E32" s="1968">
        <v>10</v>
      </c>
      <c r="F32" s="1963" t="s">
        <v>2122</v>
      </c>
      <c r="G32" s="1964">
        <v>5215</v>
      </c>
    </row>
    <row r="33" spans="1:1" ht="13.5" thickTop="1" x14ac:dyDescent="0.2">
      <c r="A33" s="1070"/>
    </row>
    <row r="34" spans="1:1" x14ac:dyDescent="0.2">
      <c r="A34" s="391" t="s">
        <v>2121</v>
      </c>
    </row>
    <row r="35" spans="1:1" x14ac:dyDescent="0.2">
      <c r="A35" s="391" t="s">
        <v>2128</v>
      </c>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Warren CUSD 205</v>
      </c>
    </row>
    <row r="64" spans="1:2" x14ac:dyDescent="0.2">
      <c r="B64" s="1969">
        <f>COVER!A13</f>
        <v>8043205026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18" sqref="I18:S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18" sqref="I18:S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1" sqref="B3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6" t="s">
        <v>1784</v>
      </c>
      <c r="B18" s="23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2400300</xdr:colOff>
                <xdr:row>4</xdr:row>
                <xdr:rowOff>114300</xdr:rowOff>
              </from>
              <to>
                <xdr:col>1</xdr:col>
                <xdr:colOff>3314700</xdr:colOff>
                <xdr:row>9</xdr:row>
                <xdr:rowOff>76200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I18" sqref="I18:S1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4"/>
      <c r="H2" s="1074"/>
    </row>
    <row r="3" spans="1:8" ht="57" customHeight="1" x14ac:dyDescent="0.2">
      <c r="A3" s="2380" t="s">
        <v>1786</v>
      </c>
      <c r="B3" s="2381"/>
      <c r="C3" s="2381"/>
      <c r="D3" s="2381"/>
      <c r="E3" s="2381"/>
      <c r="F3" s="2382"/>
      <c r="G3" s="1074"/>
      <c r="H3" s="1074"/>
    </row>
    <row r="4" spans="1:8" ht="14.25" customHeight="1" x14ac:dyDescent="0.2">
      <c r="A4" s="2386" t="s">
        <v>2056</v>
      </c>
      <c r="B4" s="2387"/>
      <c r="C4" s="2387"/>
      <c r="D4" s="2387"/>
      <c r="E4" s="2387"/>
      <c r="F4" s="2388"/>
      <c r="G4" s="1074"/>
      <c r="H4" s="1074"/>
    </row>
    <row r="5" spans="1:8" ht="14.25" customHeight="1" x14ac:dyDescent="0.2">
      <c r="A5" s="2389" t="s">
        <v>2057</v>
      </c>
      <c r="B5" s="2390"/>
      <c r="C5" s="2390"/>
      <c r="D5" s="2390"/>
      <c r="E5" s="2390"/>
      <c r="F5" s="2391"/>
      <c r="G5" s="1074"/>
      <c r="H5" s="1074"/>
    </row>
    <row r="6" spans="1:8" s="1075" customFormat="1" ht="41.25" customHeight="1" x14ac:dyDescent="0.2">
      <c r="A6" s="2383" t="s">
        <v>1792</v>
      </c>
      <c r="B6" s="2384"/>
      <c r="C6" s="2384"/>
      <c r="D6" s="2384"/>
      <c r="E6" s="2384"/>
      <c r="F6" s="2385"/>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4092111</v>
      </c>
      <c r="C8" s="1837">
        <f>'Acct Summary 7-8'!D8</f>
        <v>411046</v>
      </c>
      <c r="D8" s="1837">
        <f>'Acct Summary 7-8'!F8</f>
        <v>504792</v>
      </c>
      <c r="E8" s="1837">
        <f>'Acct Summary 7-8'!I8</f>
        <v>26181</v>
      </c>
      <c r="F8" s="1837">
        <f>SUM(B8:E8)</f>
        <v>5034130</v>
      </c>
    </row>
    <row r="9" spans="1:8" s="1079" customFormat="1" ht="14.25" customHeight="1" thickBot="1" x14ac:dyDescent="0.25">
      <c r="A9" s="1078" t="s">
        <v>1436</v>
      </c>
      <c r="B9" s="1838">
        <f>'Acct Summary 7-8'!C17</f>
        <v>3839930</v>
      </c>
      <c r="C9" s="1838">
        <f>'Acct Summary 7-8'!D17</f>
        <v>341057</v>
      </c>
      <c r="D9" s="1838">
        <f>'Acct Summary 7-8'!F17</f>
        <v>388225</v>
      </c>
      <c r="E9" s="1837"/>
      <c r="F9" s="1837">
        <f>SUM(B9:E9)</f>
        <v>4569212</v>
      </c>
    </row>
    <row r="10" spans="1:8" s="1079" customFormat="1" ht="14.25" thickTop="1" thickBot="1" x14ac:dyDescent="0.25">
      <c r="A10" s="1080" t="s">
        <v>1437</v>
      </c>
      <c r="B10" s="1839">
        <f>(B8-B9)</f>
        <v>252181</v>
      </c>
      <c r="C10" s="1839">
        <f>(C8-C9)</f>
        <v>69989</v>
      </c>
      <c r="D10" s="1839">
        <f>(D8-D9)</f>
        <v>116567</v>
      </c>
      <c r="E10" s="1838">
        <f>(E8-E9)</f>
        <v>26181</v>
      </c>
      <c r="F10" s="1840">
        <f>SUM(F8-F9)</f>
        <v>464918</v>
      </c>
    </row>
    <row r="11" spans="1:8" s="1079" customFormat="1" ht="14.25" thickTop="1" thickBot="1" x14ac:dyDescent="0.25">
      <c r="A11" s="1081" t="s">
        <v>1785</v>
      </c>
      <c r="B11" s="1841">
        <f>'Acct Summary 7-8'!C81</f>
        <v>3397666</v>
      </c>
      <c r="C11" s="1841">
        <f>'Acct Summary 7-8'!D81</f>
        <v>825040</v>
      </c>
      <c r="D11" s="1841">
        <f>'Acct Summary 7-8'!F81</f>
        <v>684211</v>
      </c>
      <c r="E11" s="1841">
        <f>'Acct Summary 7-8'!I81</f>
        <v>0</v>
      </c>
      <c r="F11" s="1842">
        <f>SUM(B11:E11)</f>
        <v>4906917</v>
      </c>
    </row>
    <row r="12" spans="1:8" ht="16.5" customHeight="1" thickTop="1" x14ac:dyDescent="0.2">
      <c r="A12" s="1082"/>
      <c r="B12" s="1083"/>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4"/>
      <c r="B13" s="1085"/>
      <c r="C13" s="2371"/>
      <c r="D13" s="2372"/>
      <c r="E13" s="2372"/>
      <c r="F13" s="2373"/>
      <c r="H13" s="1074"/>
    </row>
    <row r="14" spans="1:8" ht="19.5" customHeight="1" x14ac:dyDescent="0.2">
      <c r="A14" s="1084"/>
      <c r="B14" s="1085"/>
      <c r="C14" s="2371"/>
      <c r="D14" s="2372"/>
      <c r="E14" s="2372"/>
      <c r="F14" s="2373"/>
      <c r="H14" s="1074"/>
    </row>
    <row r="15" spans="1:8" ht="17.25" customHeight="1" x14ac:dyDescent="0.2">
      <c r="A15" s="1084"/>
      <c r="B15" s="1085"/>
      <c r="C15" s="2374"/>
      <c r="D15" s="2375"/>
      <c r="E15" s="2375"/>
      <c r="F15" s="2376"/>
      <c r="H15" s="1074"/>
    </row>
    <row r="16" spans="1:8" s="310" customFormat="1" ht="51.75" hidden="1" customHeight="1" x14ac:dyDescent="0.2">
      <c r="A16" s="2370" t="s">
        <v>1787</v>
      </c>
      <c r="B16" s="2370"/>
      <c r="C16" s="2370"/>
      <c r="D16" s="2370"/>
      <c r="E16" s="2370"/>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2" t="s">
        <v>686</v>
      </c>
      <c r="B3" s="2393"/>
      <c r="C3" s="2393"/>
      <c r="D3" s="2394"/>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3" t="s">
        <v>1584</v>
      </c>
      <c r="D7" s="2404"/>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5" t="s">
        <v>1065</v>
      </c>
      <c r="B15" s="2396"/>
      <c r="C15" s="2396"/>
      <c r="D15" s="2397"/>
    </row>
    <row r="16" spans="1:4" s="669" customFormat="1" ht="24" customHeight="1" x14ac:dyDescent="0.2">
      <c r="A16" s="2398" t="s">
        <v>684</v>
      </c>
      <c r="B16" s="2399"/>
      <c r="C16" s="2399"/>
      <c r="D16" s="2400"/>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7" t="s">
        <v>332</v>
      </c>
      <c r="D21" s="2408"/>
    </row>
    <row r="22" spans="1:10" ht="12.75" x14ac:dyDescent="0.2">
      <c r="A22" s="1139"/>
      <c r="B22" s="1140">
        <v>2</v>
      </c>
      <c r="C22" s="2405" t="s">
        <v>1605</v>
      </c>
      <c r="D22" s="2406"/>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9" t="s">
        <v>557</v>
      </c>
      <c r="D43" s="2410"/>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1" t="s">
        <v>817</v>
      </c>
      <c r="D56" s="2402"/>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ERROR!</v>
      </c>
    </row>
    <row r="69" spans="1:4" x14ac:dyDescent="0.2">
      <c r="A69" s="1100"/>
      <c r="B69" s="1110"/>
      <c r="C69" s="1102" t="s">
        <v>2052</v>
      </c>
      <c r="D69" s="1124" t="str">
        <f>IF('Expenditures 15-22'!H170&lt;&gt;'Short-Term Long-Term Debt 24'!H49,"ERROR!","OK")</f>
        <v>OK</v>
      </c>
    </row>
    <row r="70" spans="1:4" x14ac:dyDescent="0.2">
      <c r="A70" s="1098"/>
      <c r="B70" s="1120">
        <f>B66+1</f>
        <v>9</v>
      </c>
      <c r="C70" s="2401" t="s">
        <v>1797</v>
      </c>
      <c r="D70" s="2402"/>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8043205026</v>
      </c>
    </row>
    <row r="3" spans="1:2" x14ac:dyDescent="0.2">
      <c r="A3" t="s">
        <v>1013</v>
      </c>
      <c r="B3" s="138" t="str">
        <f>COVER!A15</f>
        <v>JO DAVIESS</v>
      </c>
    </row>
    <row r="4" spans="1:2" x14ac:dyDescent="0.2">
      <c r="A4" t="s">
        <v>1064</v>
      </c>
      <c r="B4" s="138" t="str">
        <f>COVER!A17</f>
        <v>Warren CUSD 205</v>
      </c>
    </row>
    <row r="5" spans="1:2" x14ac:dyDescent="0.2">
      <c r="A5" t="s">
        <v>728</v>
      </c>
      <c r="B5" s="138" t="str">
        <f>COVER!A38</f>
        <v>SHAWN TESKE</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3397757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91</v>
      </c>
      <c r="C91" s="2" t="s">
        <v>594</v>
      </c>
      <c r="D91" s="2" t="str">
        <f t="shared" si="0"/>
        <v>Error?</v>
      </c>
    </row>
    <row r="92" spans="1:4" x14ac:dyDescent="0.2">
      <c r="A92" s="5">
        <v>31</v>
      </c>
      <c r="B92" s="138">
        <f>'Assets-Liab 5-6'!C39</f>
        <v>3389234</v>
      </c>
      <c r="D92" s="2" t="str">
        <f t="shared" si="0"/>
        <v>Error?</v>
      </c>
    </row>
    <row r="93" spans="1:4" x14ac:dyDescent="0.2">
      <c r="A93" s="5">
        <v>32</v>
      </c>
      <c r="B93" s="138">
        <f>'Assets-Liab 5-6'!C41</f>
        <v>3397757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825100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60</v>
      </c>
      <c r="C122" s="2" t="s">
        <v>594</v>
      </c>
      <c r="D122" s="2" t="str">
        <f t="shared" si="0"/>
        <v>Error?</v>
      </c>
    </row>
    <row r="123" spans="1:4" x14ac:dyDescent="0.2">
      <c r="A123" s="5">
        <v>62</v>
      </c>
      <c r="B123" s="138">
        <f>'Assets-Liab 5-6'!D39</f>
        <v>825040</v>
      </c>
      <c r="D123" s="2" t="str">
        <f t="shared" si="0"/>
        <v>Error?</v>
      </c>
    </row>
    <row r="124" spans="1:4" x14ac:dyDescent="0.2">
      <c r="A124" s="5">
        <v>63</v>
      </c>
      <c r="B124" s="138">
        <f>'Assets-Liab 5-6'!D41</f>
        <v>825100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157974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157974</v>
      </c>
      <c r="D140" s="2" t="str">
        <f t="shared" si="1"/>
        <v>Error?</v>
      </c>
    </row>
    <row r="141" spans="1:4" x14ac:dyDescent="0.2">
      <c r="A141" s="5">
        <v>80</v>
      </c>
      <c r="B141" s="138">
        <f>'Assets-Liab 5-6'!E41</f>
        <v>157974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684211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684211</v>
      </c>
      <c r="D170" s="2" t="str">
        <f t="shared" si="1"/>
        <v>Error?</v>
      </c>
    </row>
    <row r="171" spans="1:4" x14ac:dyDescent="0.2">
      <c r="A171" s="5">
        <v>110</v>
      </c>
      <c r="B171" s="138">
        <f>'Assets-Liab 5-6'!F41</f>
        <v>684211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156857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75014</v>
      </c>
      <c r="D189" s="2" t="str">
        <f t="shared" si="1"/>
        <v>Error?</v>
      </c>
    </row>
    <row r="190" spans="1:4" x14ac:dyDescent="0.2">
      <c r="A190" s="5">
        <v>129</v>
      </c>
      <c r="B190" s="138">
        <f>'Assets-Liab 5-6'!G41</f>
        <v>156857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267922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267922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201300</v>
      </c>
      <c r="D273" s="2" t="str">
        <f t="shared" si="3"/>
        <v>Error?</v>
      </c>
    </row>
    <row r="274" spans="1:4" x14ac:dyDescent="0.2">
      <c r="A274" s="5">
        <v>213</v>
      </c>
      <c r="B274" s="138">
        <f>'Assets-Liab 5-6'!M17</f>
        <v>13183673</v>
      </c>
      <c r="D274" s="2" t="str">
        <f t="shared" si="3"/>
        <v>Error?</v>
      </c>
    </row>
    <row r="275" spans="1:4" x14ac:dyDescent="0.2">
      <c r="A275" s="5">
        <v>214</v>
      </c>
      <c r="B275" s="138">
        <f>'Assets-Liab 5-6'!M18</f>
        <v>652200</v>
      </c>
      <c r="D275" s="2" t="str">
        <f t="shared" si="3"/>
        <v>Error?</v>
      </c>
    </row>
    <row r="276" spans="1:4" x14ac:dyDescent="0.2">
      <c r="A276" s="5">
        <v>215</v>
      </c>
      <c r="B276" s="138">
        <f>'Assets-Liab 5-6'!M19</f>
        <v>720961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14758134</v>
      </c>
      <c r="C279" s="2" t="s">
        <v>594</v>
      </c>
      <c r="D279" s="2" t="str">
        <f t="shared" si="3"/>
        <v>Error?</v>
      </c>
    </row>
    <row r="280" spans="1:4" x14ac:dyDescent="0.2">
      <c r="A280" s="5">
        <v>219</v>
      </c>
      <c r="B280" s="138">
        <f>'Assets-Liab 5-6'!M40</f>
        <v>14758134</v>
      </c>
      <c r="D280" s="2" t="str">
        <f t="shared" si="3"/>
        <v>Error?</v>
      </c>
    </row>
    <row r="281" spans="1:4" x14ac:dyDescent="0.2">
      <c r="A281" s="5">
        <v>220</v>
      </c>
      <c r="B281" s="138">
        <f>'Assets-Liab 5-6'!M41</f>
        <v>14758134</v>
      </c>
      <c r="C281" s="2" t="s">
        <v>594</v>
      </c>
      <c r="D281" s="2" t="str">
        <f t="shared" si="3"/>
        <v>Error?</v>
      </c>
    </row>
    <row r="282" spans="1:4" x14ac:dyDescent="0.2">
      <c r="A282" s="5">
        <v>221</v>
      </c>
      <c r="B282" s="138">
        <f>'Assets-Liab 5-6'!N21</f>
        <v>157974</v>
      </c>
      <c r="D282" s="2" t="str">
        <f t="shared" si="3"/>
        <v>Error?</v>
      </c>
    </row>
    <row r="283" spans="1:4" x14ac:dyDescent="0.2">
      <c r="A283" s="5">
        <v>222</v>
      </c>
      <c r="B283" s="138">
        <f>'Assets-Liab 5-6'!N22</f>
        <v>1651811</v>
      </c>
      <c r="D283" s="2" t="str">
        <f t="shared" si="3"/>
        <v>Error?</v>
      </c>
    </row>
    <row r="284" spans="1:4" x14ac:dyDescent="0.2">
      <c r="A284" s="5">
        <v>223</v>
      </c>
      <c r="B284" s="138">
        <f>'Assets-Liab 5-6'!N23</f>
        <v>1809785</v>
      </c>
      <c r="C284" s="2" t="s">
        <v>594</v>
      </c>
      <c r="D284" s="2" t="str">
        <f t="shared" si="3"/>
        <v>Error?</v>
      </c>
    </row>
    <row r="285" spans="1:4" x14ac:dyDescent="0.2">
      <c r="A285" s="5">
        <v>224</v>
      </c>
      <c r="B285" s="138">
        <f>'Assets-Liab 5-6'!N36</f>
        <v>1809785</v>
      </c>
      <c r="D285" s="2" t="str">
        <f t="shared" si="3"/>
        <v>Error?</v>
      </c>
    </row>
    <row r="286" spans="1:4" x14ac:dyDescent="0.2">
      <c r="A286" s="10">
        <v>225</v>
      </c>
      <c r="D286" s="2" t="str">
        <f t="shared" si="3"/>
        <v>OK</v>
      </c>
    </row>
    <row r="287" spans="1:4" x14ac:dyDescent="0.2">
      <c r="A287" s="5">
        <v>226</v>
      </c>
      <c r="B287" s="138">
        <f>'Assets-Liab 5-6'!N37</f>
        <v>1809785</v>
      </c>
      <c r="C287" s="2" t="s">
        <v>594</v>
      </c>
      <c r="D287" s="2" t="str">
        <f t="shared" si="3"/>
        <v>Error?</v>
      </c>
    </row>
    <row r="288" spans="1:4" x14ac:dyDescent="0.2">
      <c r="A288" s="5">
        <v>227</v>
      </c>
      <c r="B288" s="138">
        <f>'Assets-Liab 5-6'!N41</f>
        <v>1809785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26181</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1407908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89418</v>
      </c>
      <c r="D717" s="2" t="str">
        <f t="shared" si="10"/>
        <v>Error?</v>
      </c>
    </row>
    <row r="718" spans="1:4" x14ac:dyDescent="0.2">
      <c r="A718" s="5">
        <v>657</v>
      </c>
      <c r="B718" s="138">
        <f>'Expenditures 15-22'!C14</f>
        <v>63445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1966400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53484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1500</v>
      </c>
      <c r="D726" s="2" t="str">
        <f t="shared" si="10"/>
        <v>Error?</v>
      </c>
    </row>
    <row r="727" spans="1:4" x14ac:dyDescent="0.2">
      <c r="A727" s="5">
        <v>666</v>
      </c>
      <c r="B727" s="138">
        <f>'Expenditures 15-22'!C42</f>
        <v>54984</v>
      </c>
      <c r="C727" s="2" t="s">
        <v>594</v>
      </c>
      <c r="D727" s="2" t="str">
        <f t="shared" si="10"/>
        <v>Error?</v>
      </c>
    </row>
    <row r="728" spans="1:4" x14ac:dyDescent="0.2">
      <c r="A728" s="5">
        <v>667</v>
      </c>
      <c r="B728" s="138">
        <f>'Expenditures 15-22'!C44</f>
        <v>1880</v>
      </c>
      <c r="D728" s="2" t="str">
        <f t="shared" si="10"/>
        <v>Error?</v>
      </c>
    </row>
    <row r="729" spans="1:4" x14ac:dyDescent="0.2">
      <c r="A729" s="5">
        <v>668</v>
      </c>
      <c r="B729" s="138">
        <f>'Expenditures 15-22'!C45</f>
        <v>12700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14580</v>
      </c>
      <c r="C731" s="2" t="s">
        <v>594</v>
      </c>
      <c r="D731" s="2" t="str">
        <f t="shared" si="10"/>
        <v>Error?</v>
      </c>
    </row>
    <row r="732" spans="1:4" x14ac:dyDescent="0.2">
      <c r="A732" s="5">
        <v>671</v>
      </c>
      <c r="B732" s="138">
        <f>'Expenditures 15-22'!C49</f>
        <v>2250</v>
      </c>
      <c r="D732" s="2" t="str">
        <f t="shared" si="10"/>
        <v>Error?</v>
      </c>
    </row>
    <row r="733" spans="1:4" x14ac:dyDescent="0.2">
      <c r="A733" s="5">
        <v>672</v>
      </c>
      <c r="B733" s="138">
        <f>'Expenditures 15-22'!C50</f>
        <v>59189</v>
      </c>
      <c r="D733" s="2" t="str">
        <f t="shared" si="10"/>
        <v>Error?</v>
      </c>
    </row>
    <row r="734" spans="1:4" x14ac:dyDescent="0.2">
      <c r="A734" s="5">
        <v>673</v>
      </c>
      <c r="B734" s="138">
        <f>'Expenditures 15-22'!C53</f>
        <v>62372</v>
      </c>
      <c r="C734" s="2" t="s">
        <v>594</v>
      </c>
      <c r="D734" s="2" t="str">
        <f t="shared" si="10"/>
        <v>Error?</v>
      </c>
    </row>
    <row r="735" spans="1:4" x14ac:dyDescent="0.2">
      <c r="A735" s="5">
        <v>674</v>
      </c>
      <c r="B735" s="138">
        <f>'Expenditures 15-22'!C55</f>
        <v>194469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194469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43788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62529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106317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432722</v>
      </c>
      <c r="C755" s="2" t="s">
        <v>594</v>
      </c>
      <c r="D755" s="2" t="str">
        <f t="shared" si="10"/>
        <v>Error?</v>
      </c>
    </row>
    <row r="756" spans="1:4" x14ac:dyDescent="0.2">
      <c r="A756" s="5">
        <v>695</v>
      </c>
      <c r="B756" s="138">
        <f>'Expenditures 15-22'!C75</f>
        <v>1200</v>
      </c>
      <c r="D756" s="2" t="str">
        <f t="shared" si="10"/>
        <v>Error?</v>
      </c>
    </row>
    <row r="757" spans="1:4" x14ac:dyDescent="0.2">
      <c r="A757" s="5">
        <v>696</v>
      </c>
      <c r="B757" s="138">
        <f>'Expenditures 15-22'!C114</f>
        <v>2400322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469100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24811</v>
      </c>
      <c r="D775" s="2" t="str">
        <f t="shared" si="11"/>
        <v>Error?</v>
      </c>
    </row>
    <row r="776" spans="1:4" x14ac:dyDescent="0.2">
      <c r="A776" s="5">
        <v>715</v>
      </c>
      <c r="B776" s="138">
        <f>'Expenditures 15-22'!D14</f>
        <v>3017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566481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16890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121</v>
      </c>
      <c r="D784" s="2" t="str">
        <f t="shared" si="11"/>
        <v>Error?</v>
      </c>
    </row>
    <row r="785" spans="1:4" x14ac:dyDescent="0.2">
      <c r="A785" s="5">
        <v>724</v>
      </c>
      <c r="B785" s="138">
        <f>'Expenditures 15-22'!D42</f>
        <v>17011</v>
      </c>
      <c r="C785" s="2" t="s">
        <v>594</v>
      </c>
      <c r="D785" s="2" t="str">
        <f t="shared" si="11"/>
        <v>Error?</v>
      </c>
    </row>
    <row r="786" spans="1:4" x14ac:dyDescent="0.2">
      <c r="A786" s="5">
        <v>725</v>
      </c>
      <c r="B786" s="138">
        <f>'Expenditures 15-22'!D44</f>
        <v>81</v>
      </c>
      <c r="D786" s="2" t="str">
        <f t="shared" si="11"/>
        <v>Error?</v>
      </c>
    </row>
    <row r="787" spans="1:4" x14ac:dyDescent="0.2">
      <c r="A787" s="5">
        <v>726</v>
      </c>
      <c r="B787" s="138">
        <f>'Expenditures 15-22'!D45</f>
        <v>2528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2609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12219</v>
      </c>
      <c r="D791" s="2" t="str">
        <f t="shared" si="11"/>
        <v>Error?</v>
      </c>
    </row>
    <row r="792" spans="1:4" x14ac:dyDescent="0.2">
      <c r="A792" s="5">
        <v>731</v>
      </c>
      <c r="B792" s="138">
        <f>'Expenditures 15-22'!D53</f>
        <v>12332</v>
      </c>
      <c r="C792" s="2" t="s">
        <v>594</v>
      </c>
      <c r="D792" s="2" t="str">
        <f t="shared" si="11"/>
        <v>Error?</v>
      </c>
    </row>
    <row r="793" spans="1:4" x14ac:dyDescent="0.2">
      <c r="A793" s="5">
        <v>732</v>
      </c>
      <c r="B793" s="138">
        <f>'Expenditures 15-22'!D55</f>
        <v>60887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60887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7192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9092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101931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668412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62612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324</v>
      </c>
      <c r="D833" s="2" t="str">
        <f t="shared" si="12"/>
        <v>Error?</v>
      </c>
    </row>
    <row r="834" spans="1:4" x14ac:dyDescent="0.2">
      <c r="A834" s="5">
        <v>773</v>
      </c>
      <c r="B834" s="138">
        <f>'Expenditures 15-22'!E14</f>
        <v>13923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81410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983</v>
      </c>
      <c r="D838" s="2" t="str">
        <f t="shared" si="12"/>
        <v>Error?</v>
      </c>
    </row>
    <row r="839" spans="1:4" x14ac:dyDescent="0.2">
      <c r="A839" s="5">
        <v>778</v>
      </c>
      <c r="B839" s="138">
        <f>'Expenditures 15-22'!E38</f>
        <v>722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53516</v>
      </c>
      <c r="D841" s="2" t="str">
        <f t="shared" si="12"/>
        <v>Error?</v>
      </c>
    </row>
    <row r="842" spans="1:4" x14ac:dyDescent="0.2">
      <c r="A842" s="5">
        <v>781</v>
      </c>
      <c r="B842" s="138">
        <f>'Expenditures 15-22'!E41</f>
        <v>11928</v>
      </c>
      <c r="D842" s="2" t="str">
        <f t="shared" si="12"/>
        <v>Error?</v>
      </c>
    </row>
    <row r="843" spans="1:4" x14ac:dyDescent="0.2">
      <c r="A843" s="5">
        <v>782</v>
      </c>
      <c r="B843" s="138">
        <f>'Expenditures 15-22'!E42</f>
        <v>67149</v>
      </c>
      <c r="C843" s="2" t="s">
        <v>594</v>
      </c>
      <c r="D843" s="2" t="str">
        <f t="shared" si="12"/>
        <v>Error?</v>
      </c>
    </row>
    <row r="844" spans="1:4" x14ac:dyDescent="0.2">
      <c r="A844" s="5">
        <v>783</v>
      </c>
      <c r="B844" s="138">
        <f>'Expenditures 15-22'!E44</f>
        <v>6082</v>
      </c>
      <c r="D844" s="2" t="str">
        <f t="shared" si="12"/>
        <v>Error?</v>
      </c>
    </row>
    <row r="845" spans="1:4" x14ac:dyDescent="0.2">
      <c r="A845" s="5">
        <v>784</v>
      </c>
      <c r="B845" s="138">
        <f>'Expenditures 15-22'!E45</f>
        <v>3346</v>
      </c>
      <c r="D845" s="2" t="str">
        <f t="shared" si="12"/>
        <v>Error?</v>
      </c>
    </row>
    <row r="846" spans="1:4" x14ac:dyDescent="0.2">
      <c r="A846" s="5">
        <v>785</v>
      </c>
      <c r="B846" s="138">
        <f>'Expenditures 15-22'!E46</f>
        <v>9694</v>
      </c>
      <c r="D846" s="2" t="str">
        <f t="shared" si="12"/>
        <v>Error?</v>
      </c>
    </row>
    <row r="847" spans="1:4" x14ac:dyDescent="0.2">
      <c r="A847" s="5">
        <v>786</v>
      </c>
      <c r="B847" s="138">
        <f>'Expenditures 15-22'!E47</f>
        <v>19122</v>
      </c>
      <c r="C847" s="2" t="s">
        <v>594</v>
      </c>
      <c r="D847" s="2" t="str">
        <f t="shared" si="12"/>
        <v>Error?</v>
      </c>
    </row>
    <row r="848" spans="1:4" x14ac:dyDescent="0.2">
      <c r="A848" s="5">
        <v>787</v>
      </c>
      <c r="B848" s="138">
        <f>'Expenditures 15-22'!E49</f>
        <v>23932</v>
      </c>
      <c r="D848" s="2" t="str">
        <f t="shared" si="12"/>
        <v>Error?</v>
      </c>
    </row>
    <row r="849" spans="1:4" x14ac:dyDescent="0.2">
      <c r="A849" s="5">
        <v>788</v>
      </c>
      <c r="B849" s="138">
        <f>'Expenditures 15-22'!E50</f>
        <v>1035</v>
      </c>
      <c r="D849" s="2" t="str">
        <f t="shared" si="12"/>
        <v>Error?</v>
      </c>
    </row>
    <row r="850" spans="1:4" x14ac:dyDescent="0.2">
      <c r="A850" s="5">
        <v>789</v>
      </c>
      <c r="B850" s="138">
        <f>'Expenditures 15-22'!E53</f>
        <v>24967</v>
      </c>
      <c r="C850" s="2" t="s">
        <v>594</v>
      </c>
      <c r="D850" s="2" t="str">
        <f t="shared" si="12"/>
        <v>Error?</v>
      </c>
    </row>
    <row r="851" spans="1:4" x14ac:dyDescent="0.2">
      <c r="A851" s="5">
        <v>790</v>
      </c>
      <c r="B851" s="138">
        <f>'Expenditures 15-22'!E55</f>
        <v>3452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3452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1641</v>
      </c>
      <c r="D855" s="2" t="str">
        <f t="shared" si="12"/>
        <v>Error?</v>
      </c>
    </row>
    <row r="856" spans="1:4" x14ac:dyDescent="0.2">
      <c r="A856" s="5">
        <v>795</v>
      </c>
      <c r="B856" s="138">
        <f>'Expenditures 15-22'!E61</f>
        <v>5406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4651</v>
      </c>
      <c r="D858" s="2" t="str">
        <f t="shared" si="12"/>
        <v>Error?</v>
      </c>
    </row>
    <row r="859" spans="1:4" x14ac:dyDescent="0.2">
      <c r="A859" s="5">
        <v>798</v>
      </c>
      <c r="B859" s="138">
        <f>'Expenditures 15-22'!E64</f>
        <v>3334</v>
      </c>
      <c r="D859" s="2" t="str">
        <f t="shared" si="12"/>
        <v>Error?</v>
      </c>
    </row>
    <row r="860" spans="1:4" x14ac:dyDescent="0.2">
      <c r="A860" s="10">
        <v>799</v>
      </c>
      <c r="D860" s="2" t="str">
        <f t="shared" si="12"/>
        <v>OK</v>
      </c>
    </row>
    <row r="861" spans="1:4" x14ac:dyDescent="0.2">
      <c r="A861" s="5">
        <v>800</v>
      </c>
      <c r="B861" s="138">
        <f>'Expenditures 15-22'!E65</f>
        <v>15032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129722</v>
      </c>
      <c r="C871" s="2" t="s">
        <v>594</v>
      </c>
      <c r="D871" s="2" t="str">
        <f t="shared" si="12"/>
        <v>Error?</v>
      </c>
    </row>
    <row r="872" spans="1:4" x14ac:dyDescent="0.2">
      <c r="A872" s="5">
        <v>811</v>
      </c>
      <c r="B872" s="138">
        <f>'Expenditures 15-22'!E75</f>
        <v>1800</v>
      </c>
      <c r="D872" s="2" t="str">
        <f t="shared" si="12"/>
        <v>Error?</v>
      </c>
    </row>
    <row r="873" spans="1:4" x14ac:dyDescent="0.2">
      <c r="A873" s="5">
        <v>812</v>
      </c>
      <c r="B873" s="138">
        <f>'Expenditures 15-22'!E114</f>
        <v>414804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23558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8724</v>
      </c>
      <c r="D891" s="2" t="str">
        <f t="shared" si="12"/>
        <v>Error?</v>
      </c>
    </row>
    <row r="892" spans="1:4" x14ac:dyDescent="0.2">
      <c r="A892" s="5">
        <v>831</v>
      </c>
      <c r="B892" s="138">
        <f>'Expenditures 15-22'!F14</f>
        <v>2278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56601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783</v>
      </c>
      <c r="D900" s="2" t="str">
        <f t="shared" si="13"/>
        <v>Error?</v>
      </c>
    </row>
    <row r="901" spans="1:4" x14ac:dyDescent="0.2">
      <c r="A901" s="5">
        <v>840</v>
      </c>
      <c r="B901" s="138">
        <f>'Expenditures 15-22'!F42</f>
        <v>1111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6289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6289</v>
      </c>
      <c r="C905" s="2" t="s">
        <v>594</v>
      </c>
      <c r="D905" s="2" t="str">
        <f t="shared" si="13"/>
        <v>Error?</v>
      </c>
    </row>
    <row r="906" spans="1:4" x14ac:dyDescent="0.2">
      <c r="A906" s="5">
        <v>845</v>
      </c>
      <c r="B906" s="138">
        <f>'Expenditures 15-22'!F49</f>
        <v>1109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1109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59310</v>
      </c>
      <c r="D916" s="2" t="str">
        <f t="shared" si="13"/>
        <v>Error?</v>
      </c>
    </row>
    <row r="917" spans="1:4" x14ac:dyDescent="0.2">
      <c r="A917" s="5">
        <v>856</v>
      </c>
      <c r="B917" s="138">
        <f>'Expenditures 15-22'!F64</f>
        <v>9536</v>
      </c>
      <c r="D917" s="2" t="str">
        <f t="shared" si="13"/>
        <v>Error?</v>
      </c>
    </row>
    <row r="918" spans="1:4" x14ac:dyDescent="0.2">
      <c r="A918" s="10">
        <v>857</v>
      </c>
      <c r="D918" s="2" t="str">
        <f t="shared" si="13"/>
        <v>OK</v>
      </c>
    </row>
    <row r="919" spans="1:4" x14ac:dyDescent="0.2">
      <c r="A919" s="5">
        <v>858</v>
      </c>
      <c r="B919" s="138">
        <f>'Expenditures 15-22'!F65</f>
        <v>69757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38</v>
      </c>
      <c r="D928" s="2" t="str">
        <f t="shared" si="13"/>
        <v>Error?</v>
      </c>
    </row>
    <row r="929" spans="1:4" x14ac:dyDescent="0.2">
      <c r="A929" s="5">
        <v>868</v>
      </c>
      <c r="B929" s="138">
        <f>'Expenditures 15-22'!F74</f>
        <v>78304</v>
      </c>
      <c r="C929" s="2" t="s">
        <v>594</v>
      </c>
      <c r="D929" s="2" t="str">
        <f t="shared" si="13"/>
        <v>Error?</v>
      </c>
    </row>
    <row r="930" spans="1:4" x14ac:dyDescent="0.2">
      <c r="A930" s="5">
        <v>869</v>
      </c>
      <c r="B930" s="138">
        <f>'Expenditures 15-22'!F75</f>
        <v>260</v>
      </c>
      <c r="D930" s="2" t="str">
        <f t="shared" si="13"/>
        <v>Error?</v>
      </c>
    </row>
    <row r="931" spans="1:4" x14ac:dyDescent="0.2">
      <c r="A931" s="5">
        <v>870</v>
      </c>
      <c r="B931" s="138">
        <f>'Expenditures 15-22'!F114</f>
        <v>135165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22145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23918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2185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2185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2185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26103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2572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8768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8768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8768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183784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195124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1986807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123277</v>
      </c>
      <c r="C1105" s="2" t="s">
        <v>594</v>
      </c>
      <c r="D1105" s="2" t="str">
        <f t="shared" si="16"/>
        <v>Error?</v>
      </c>
    </row>
    <row r="1106" spans="1:4" x14ac:dyDescent="0.2">
      <c r="A1106" s="5">
        <v>1045</v>
      </c>
      <c r="B1106" s="138">
        <f>'Expenditures 15-22'!K14</f>
        <v>83751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2697382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71357</v>
      </c>
      <c r="C1110" s="2" t="s">
        <v>594</v>
      </c>
      <c r="D1110" s="2" t="str">
        <f t="shared" si="16"/>
        <v>Error?</v>
      </c>
    </row>
    <row r="1111" spans="1:4" x14ac:dyDescent="0.2">
      <c r="A1111" s="5">
        <v>1050</v>
      </c>
      <c r="B1111" s="138">
        <f>'Expenditures 15-22'!K38</f>
        <v>1050</v>
      </c>
      <c r="C1111" s="2" t="s">
        <v>594</v>
      </c>
      <c r="D1111" s="2" t="str">
        <f t="shared" si="16"/>
        <v>OK</v>
      </c>
    </row>
    <row r="1112" spans="1:4" x14ac:dyDescent="0.2">
      <c r="A1112" s="5">
        <v>1051</v>
      </c>
      <c r="B1112" s="138">
        <f>'Expenditures 15-22'!K39</f>
        <v>0</v>
      </c>
      <c r="C1112" s="2" t="s">
        <v>594</v>
      </c>
      <c r="D1112" s="2" t="str">
        <f t="shared" si="16"/>
        <v>Error?</v>
      </c>
    </row>
    <row r="1113" spans="1:4" x14ac:dyDescent="0.2">
      <c r="A1113" s="5">
        <v>1052</v>
      </c>
      <c r="B1113" s="138">
        <f>'Expenditures 15-22'!K40</f>
        <v>53516</v>
      </c>
      <c r="C1113" s="2" t="s">
        <v>594</v>
      </c>
      <c r="D1113" s="2" t="str">
        <f t="shared" si="16"/>
        <v>Error?</v>
      </c>
    </row>
    <row r="1114" spans="1:4" x14ac:dyDescent="0.2">
      <c r="A1114" s="5">
        <v>1053</v>
      </c>
      <c r="B1114" s="138">
        <f>'Expenditures 15-22'!K41</f>
        <v>14332</v>
      </c>
      <c r="C1114" s="2" t="s">
        <v>594</v>
      </c>
      <c r="D1114" s="2" t="str">
        <f t="shared" si="16"/>
        <v>Error?</v>
      </c>
    </row>
    <row r="1115" spans="1:4" x14ac:dyDescent="0.2">
      <c r="A1115" s="5">
        <v>1054</v>
      </c>
      <c r="B1115" s="138">
        <f>'Expenditures 15-22'!K42</f>
        <v>140255</v>
      </c>
      <c r="C1115" s="2" t="s">
        <v>594</v>
      </c>
      <c r="D1115" s="2" t="str">
        <f t="shared" si="16"/>
        <v>Error?</v>
      </c>
    </row>
    <row r="1116" spans="1:4" x14ac:dyDescent="0.2">
      <c r="A1116" s="5">
        <v>1055</v>
      </c>
      <c r="B1116" s="138">
        <f>'Expenditures 15-22'!K44</f>
        <v>8043</v>
      </c>
      <c r="C1116" s="2" t="s">
        <v>594</v>
      </c>
      <c r="D1116" s="2" t="str">
        <f t="shared" si="16"/>
        <v>Error?</v>
      </c>
    </row>
    <row r="1117" spans="1:4" x14ac:dyDescent="0.2">
      <c r="A1117" s="5">
        <v>1056</v>
      </c>
      <c r="B1117" s="138">
        <f>'Expenditures 15-22'!K45</f>
        <v>27048</v>
      </c>
      <c r="C1117" s="2" t="s">
        <v>594</v>
      </c>
      <c r="D1117" s="2" t="str">
        <f t="shared" si="16"/>
        <v>Error?</v>
      </c>
    </row>
    <row r="1118" spans="1:4" x14ac:dyDescent="0.2">
      <c r="A1118" s="5">
        <v>1057</v>
      </c>
      <c r="B1118" s="138">
        <f>'Expenditures 15-22'!K46</f>
        <v>9694</v>
      </c>
      <c r="C1118" s="2" t="s">
        <v>594</v>
      </c>
      <c r="D1118" s="2" t="str">
        <f t="shared" si="16"/>
        <v>Error?</v>
      </c>
    </row>
    <row r="1119" spans="1:4" x14ac:dyDescent="0.2">
      <c r="A1119" s="5">
        <v>1058</v>
      </c>
      <c r="B1119" s="138">
        <f>'Expenditures 15-22'!K47</f>
        <v>44785</v>
      </c>
      <c r="C1119" s="2" t="s">
        <v>594</v>
      </c>
      <c r="D1119" s="2" t="str">
        <f t="shared" si="16"/>
        <v>Error?</v>
      </c>
    </row>
    <row r="1120" spans="1:4" x14ac:dyDescent="0.2">
      <c r="A1120" s="5">
        <v>1059</v>
      </c>
      <c r="B1120" s="138">
        <f>'Expenditures 15-22'!K49</f>
        <v>36059</v>
      </c>
      <c r="C1120" s="2" t="s">
        <v>594</v>
      </c>
      <c r="D1120" s="2" t="str">
        <f t="shared" si="16"/>
        <v>Error?</v>
      </c>
    </row>
    <row r="1121" spans="1:4" x14ac:dyDescent="0.2">
      <c r="A1121" s="5">
        <v>1060</v>
      </c>
      <c r="B1121" s="138">
        <f>'Expenditures 15-22'!K50</f>
        <v>72443</v>
      </c>
      <c r="C1121" s="2" t="s">
        <v>594</v>
      </c>
      <c r="D1121" s="2" t="str">
        <f t="shared" si="16"/>
        <v>Error?</v>
      </c>
    </row>
    <row r="1122" spans="1:4" x14ac:dyDescent="0.2">
      <c r="A1122" s="5">
        <v>1061</v>
      </c>
      <c r="B1122" s="138">
        <f>'Expenditures 15-22'!K53</f>
        <v>109548</v>
      </c>
      <c r="C1122" s="2" t="s">
        <v>594</v>
      </c>
      <c r="D1122" s="2" t="str">
        <f t="shared" si="16"/>
        <v>Error?</v>
      </c>
    </row>
    <row r="1123" spans="1:4" x14ac:dyDescent="0.2">
      <c r="A1123" s="5">
        <v>1062</v>
      </c>
      <c r="B1123" s="138">
        <f>'Expenditures 15-22'!K55</f>
        <v>258808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258808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53532</v>
      </c>
      <c r="C1127" s="2" t="s">
        <v>594</v>
      </c>
      <c r="D1127" s="2" t="str">
        <f t="shared" si="16"/>
        <v>Error?</v>
      </c>
    </row>
    <row r="1128" spans="1:4" x14ac:dyDescent="0.2">
      <c r="A1128" s="5">
        <v>1067</v>
      </c>
      <c r="B1128" s="138">
        <f>'Expenditures 15-22'!K61</f>
        <v>5406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128390</v>
      </c>
      <c r="C1130" s="2" t="s">
        <v>594</v>
      </c>
      <c r="D1130" s="2" t="str">
        <f t="shared" si="16"/>
        <v>Error?</v>
      </c>
    </row>
    <row r="1131" spans="1:4" x14ac:dyDescent="0.2">
      <c r="A1131" s="5">
        <v>1070</v>
      </c>
      <c r="B1131" s="138">
        <f>'Expenditures 15-22'!K64</f>
        <v>12870</v>
      </c>
      <c r="C1131" s="2" t="s">
        <v>594</v>
      </c>
      <c r="D1131" s="2" t="str">
        <f t="shared" si="16"/>
        <v>Error?</v>
      </c>
    </row>
    <row r="1132" spans="1:4" x14ac:dyDescent="0.2">
      <c r="A1132" s="10">
        <v>1071</v>
      </c>
      <c r="D1132" s="2" t="str">
        <f t="shared" si="16"/>
        <v>OK</v>
      </c>
    </row>
    <row r="1133" spans="1:4" x14ac:dyDescent="0.2">
      <c r="A1133" s="5">
        <v>1072</v>
      </c>
      <c r="B1133" s="138">
        <f>'Expenditures 15-22'!K65</f>
        <v>200198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38</v>
      </c>
      <c r="C1142" s="2" t="s">
        <v>594</v>
      </c>
      <c r="D1142" s="2" t="str">
        <f t="shared" si="16"/>
        <v>Error?</v>
      </c>
    </row>
    <row r="1143" spans="1:4" x14ac:dyDescent="0.2">
      <c r="A1143" s="5">
        <v>1082</v>
      </c>
      <c r="B1143" s="138">
        <f>'Expenditures 15-22'!K74</f>
        <v>753632</v>
      </c>
      <c r="C1143" s="2" t="s">
        <v>594</v>
      </c>
      <c r="D1143" s="2" t="str">
        <f t="shared" si="16"/>
        <v>Error?</v>
      </c>
    </row>
    <row r="1144" spans="1:4" x14ac:dyDescent="0.2">
      <c r="A1144" s="5">
        <v>1083</v>
      </c>
      <c r="B1144" s="138">
        <f>'Expenditures 15-22'!K75</f>
        <v>3260</v>
      </c>
      <c r="C1144" s="2" t="s">
        <v>594</v>
      </c>
      <c r="D1144" s="2" t="str">
        <f t="shared" si="16"/>
        <v>Error?</v>
      </c>
    </row>
    <row r="1145" spans="1:4" x14ac:dyDescent="0.2">
      <c r="A1145" s="5">
        <v>1084</v>
      </c>
      <c r="B1145" s="138">
        <f>'Expenditures 15-22'!K102</f>
        <v>385656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3839930</v>
      </c>
      <c r="C1152" s="2" t="s">
        <v>594</v>
      </c>
      <c r="D1152" s="2" t="str">
        <f t="shared" si="17"/>
        <v>Error?</v>
      </c>
    </row>
    <row r="1153" spans="1:4" x14ac:dyDescent="0.2">
      <c r="A1153" s="5">
        <v>1092</v>
      </c>
      <c r="B1153" s="138">
        <f>'Expenditures 15-22'!K115</f>
        <v>252181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95412</v>
      </c>
      <c r="D1221" s="2" t="str">
        <f t="shared" si="18"/>
        <v>Error?</v>
      </c>
    </row>
    <row r="1222" spans="1:4" x14ac:dyDescent="0.2">
      <c r="A1222" s="10">
        <v>1161</v>
      </c>
      <c r="D1222" s="2" t="str">
        <f t="shared" si="18"/>
        <v>OK</v>
      </c>
    </row>
    <row r="1223" spans="1:4" x14ac:dyDescent="0.2">
      <c r="A1223" s="5">
        <v>1162</v>
      </c>
      <c r="B1223" s="138">
        <f>'Expenditures 15-22'!C127</f>
        <v>95412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95412</v>
      </c>
      <c r="C1225" s="2" t="s">
        <v>594</v>
      </c>
      <c r="D1225" s="2" t="str">
        <f t="shared" si="18"/>
        <v>Error?</v>
      </c>
    </row>
    <row r="1226" spans="1:4" x14ac:dyDescent="0.2">
      <c r="A1226" s="5">
        <v>1165</v>
      </c>
      <c r="B1226" s="138">
        <f>'Expenditures 15-22'!C151</f>
        <v>95412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39161</v>
      </c>
      <c r="D1229" s="2" t="str">
        <f t="shared" si="18"/>
        <v>Error?</v>
      </c>
    </row>
    <row r="1230" spans="1:4" x14ac:dyDescent="0.2">
      <c r="A1230" s="10">
        <v>1169</v>
      </c>
      <c r="D1230" s="2" t="str">
        <f t="shared" si="18"/>
        <v>OK</v>
      </c>
    </row>
    <row r="1231" spans="1:4" x14ac:dyDescent="0.2">
      <c r="A1231" s="5">
        <v>1170</v>
      </c>
      <c r="B1231" s="138">
        <f>'Expenditures 15-22'!D127</f>
        <v>39161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39161</v>
      </c>
      <c r="C1233" s="2" t="s">
        <v>594</v>
      </c>
      <c r="D1233" s="2" t="str">
        <f t="shared" si="18"/>
        <v>Error?</v>
      </c>
    </row>
    <row r="1234" spans="1:4" x14ac:dyDescent="0.2">
      <c r="A1234" s="5">
        <v>1173</v>
      </c>
      <c r="B1234" s="138">
        <f>'Expenditures 15-22'!D151</f>
        <v>39161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153635</v>
      </c>
      <c r="D1237" s="2" t="str">
        <f t="shared" si="18"/>
        <v>Error?</v>
      </c>
    </row>
    <row r="1238" spans="1:4" x14ac:dyDescent="0.2">
      <c r="A1238" s="10">
        <v>1177</v>
      </c>
      <c r="D1238" s="2" t="str">
        <f t="shared" si="18"/>
        <v>OK</v>
      </c>
    </row>
    <row r="1239" spans="1:4" x14ac:dyDescent="0.2">
      <c r="A1239" s="5">
        <v>1178</v>
      </c>
      <c r="B1239" s="138">
        <f>'Expenditures 15-22'!E127</f>
        <v>153635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153635</v>
      </c>
      <c r="C1241" s="2" t="s">
        <v>594</v>
      </c>
      <c r="D1241" s="2" t="str">
        <f t="shared" si="18"/>
        <v>Error?</v>
      </c>
    </row>
    <row r="1242" spans="1:4" x14ac:dyDescent="0.2">
      <c r="A1242" s="5">
        <v>1181</v>
      </c>
      <c r="B1242" s="138">
        <f>'Expenditures 15-22'!E151</f>
        <v>153635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34762</v>
      </c>
      <c r="D1245" s="2" t="str">
        <f t="shared" si="18"/>
        <v>Error?</v>
      </c>
    </row>
    <row r="1246" spans="1:4" x14ac:dyDescent="0.2">
      <c r="A1246" s="10">
        <v>1185</v>
      </c>
      <c r="D1246" s="2" t="str">
        <f t="shared" si="18"/>
        <v>OK</v>
      </c>
    </row>
    <row r="1247" spans="1:4" x14ac:dyDescent="0.2">
      <c r="A1247" s="5">
        <v>1186</v>
      </c>
      <c r="B1247" s="138">
        <f>'Expenditures 15-22'!F127</f>
        <v>34762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34762</v>
      </c>
      <c r="C1249" s="2" t="s">
        <v>594</v>
      </c>
      <c r="D1249" s="2" t="str">
        <f t="shared" si="18"/>
        <v>Error?</v>
      </c>
    </row>
    <row r="1250" spans="1:4" x14ac:dyDescent="0.2">
      <c r="A1250" s="5">
        <v>1189</v>
      </c>
      <c r="B1250" s="138">
        <f>'Expenditures 15-22'!F151</f>
        <v>34762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18087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18087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18087</v>
      </c>
      <c r="C1258" s="2" t="s">
        <v>594</v>
      </c>
      <c r="D1258" s="2" t="str">
        <f t="shared" si="18"/>
        <v>Error?</v>
      </c>
    </row>
    <row r="1259" spans="1:4" x14ac:dyDescent="0.2">
      <c r="A1259" s="5">
        <v>1198</v>
      </c>
      <c r="B1259" s="138">
        <f>'Expenditures 15-22'!G151</f>
        <v>18087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341057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341057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341057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341057</v>
      </c>
      <c r="C1288" s="2" t="s">
        <v>594</v>
      </c>
      <c r="D1288" s="2" t="str">
        <f t="shared" si="19"/>
        <v>Error?</v>
      </c>
    </row>
    <row r="1289" spans="1:4" x14ac:dyDescent="0.2">
      <c r="A1289" s="5">
        <v>1228</v>
      </c>
      <c r="B1289" s="138">
        <f>'Expenditures 15-22'!K152</f>
        <v>69989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84013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524184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608197</v>
      </c>
      <c r="C1317" s="2" t="s">
        <v>594</v>
      </c>
      <c r="D1317" s="2" t="str">
        <f t="shared" si="19"/>
        <v>Error?</v>
      </c>
    </row>
    <row r="1318" spans="1:4" x14ac:dyDescent="0.2">
      <c r="A1318" s="5">
        <v>1257</v>
      </c>
      <c r="B1318" s="138">
        <f>'Expenditures 15-22'!H174</f>
        <v>608197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84013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524184</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608197</v>
      </c>
      <c r="C1331" s="2" t="s">
        <v>594</v>
      </c>
      <c r="D1331" s="2" t="str">
        <f t="shared" si="19"/>
        <v>Error?</v>
      </c>
    </row>
    <row r="1332" spans="1:4" x14ac:dyDescent="0.2">
      <c r="A1332" s="5">
        <v>1271</v>
      </c>
      <c r="B1332" s="138">
        <f>'Expenditures 15-22'!K174</f>
        <v>608197</v>
      </c>
      <c r="C1332" s="2" t="s">
        <v>594</v>
      </c>
      <c r="D1332" s="2" t="str">
        <f t="shared" si="19"/>
        <v>Error?</v>
      </c>
    </row>
    <row r="1333" spans="1:4" x14ac:dyDescent="0.2">
      <c r="A1333" s="5">
        <v>1272</v>
      </c>
      <c r="B1333" s="138">
        <f>'Expenditures 15-22'!K175</f>
        <v>-15436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7851</v>
      </c>
      <c r="D1338" s="2" t="str">
        <f t="shared" si="19"/>
        <v>Error?</v>
      </c>
    </row>
    <row r="1339" spans="1:4" x14ac:dyDescent="0.2">
      <c r="A1339" s="5">
        <v>1278</v>
      </c>
      <c r="B1339" s="138">
        <f>'Expenditures 15-22'!C184</f>
        <v>7851</v>
      </c>
      <c r="C1339" s="2" t="s">
        <v>594</v>
      </c>
      <c r="D1339" s="2" t="str">
        <f t="shared" si="19"/>
        <v>Error?</v>
      </c>
    </row>
    <row r="1340" spans="1:4" x14ac:dyDescent="0.2">
      <c r="A1340" s="5">
        <v>1279</v>
      </c>
      <c r="B1340" s="138">
        <f>'Expenditures 15-22'!C210</f>
        <v>7851</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1923</v>
      </c>
      <c r="D1344" s="2" t="str">
        <f t="shared" si="20"/>
        <v>Error?</v>
      </c>
    </row>
    <row r="1345" spans="1:4" x14ac:dyDescent="0.2">
      <c r="A1345" s="5">
        <v>1284</v>
      </c>
      <c r="B1345" s="138">
        <f>'Expenditures 15-22'!D184</f>
        <v>1923</v>
      </c>
      <c r="C1345" s="2" t="s">
        <v>594</v>
      </c>
      <c r="D1345" s="2" t="str">
        <f t="shared" si="20"/>
        <v>Error?</v>
      </c>
    </row>
    <row r="1346" spans="1:4" x14ac:dyDescent="0.2">
      <c r="A1346" s="5">
        <v>1285</v>
      </c>
      <c r="B1346" s="138">
        <f>'Expenditures 15-22'!D210</f>
        <v>1923</v>
      </c>
      <c r="C1346" s="2" t="s">
        <v>594</v>
      </c>
      <c r="D1346" s="2" t="str">
        <f t="shared" si="20"/>
        <v>Error?</v>
      </c>
    </row>
    <row r="1347" spans="1:4" x14ac:dyDescent="0.2">
      <c r="A1347" s="5">
        <v>1286</v>
      </c>
      <c r="B1347" s="138">
        <f>'Expenditures 15-22'!E182</f>
        <v>350898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350898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350898</v>
      </c>
      <c r="C1353" s="2" t="s">
        <v>594</v>
      </c>
      <c r="D1353" s="2" t="str">
        <f t="shared" si="20"/>
        <v>Error?</v>
      </c>
    </row>
    <row r="1354" spans="1:4" x14ac:dyDescent="0.2">
      <c r="A1354" s="5">
        <v>1293</v>
      </c>
      <c r="B1354" s="138">
        <f>'Expenditures 15-22'!F182</f>
        <v>27553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27553</v>
      </c>
      <c r="C1358" s="2" t="s">
        <v>594</v>
      </c>
      <c r="D1358" s="2" t="str">
        <f t="shared" si="20"/>
        <v>Error?</v>
      </c>
    </row>
    <row r="1359" spans="1:4" x14ac:dyDescent="0.2">
      <c r="A1359" s="5">
        <v>1298</v>
      </c>
      <c r="B1359" s="138">
        <f>'Expenditures 15-22'!F210</f>
        <v>27553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378451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9774</v>
      </c>
      <c r="C1380" s="2" t="s">
        <v>594</v>
      </c>
      <c r="D1380" s="2" t="str">
        <f t="shared" si="20"/>
        <v>Error?</v>
      </c>
    </row>
    <row r="1381" spans="1:4" x14ac:dyDescent="0.2">
      <c r="A1381" s="5">
        <v>1320</v>
      </c>
      <c r="B1381" s="138">
        <f>'Expenditures 15-22'!K184</f>
        <v>388225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388225</v>
      </c>
      <c r="C1388" s="2" t="s">
        <v>594</v>
      </c>
      <c r="D1388" s="2" t="str">
        <f t="shared" si="20"/>
        <v>Error?</v>
      </c>
    </row>
    <row r="1389" spans="1:4" x14ac:dyDescent="0.2">
      <c r="A1389" s="5">
        <v>1328</v>
      </c>
      <c r="B1389" s="138">
        <f>'Expenditures 15-22'!K211</f>
        <v>116567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1305</v>
      </c>
      <c r="D1407" s="2" t="str">
        <f t="shared" ref="D1407:D1470" si="21">IF(ISBLANK(B1407),"OK",IF(A1407-B1407=0,"OK","Error?"))</f>
        <v>Error?</v>
      </c>
    </row>
    <row r="1408" spans="1:4" x14ac:dyDescent="0.2">
      <c r="A1408" s="5">
        <v>1347</v>
      </c>
      <c r="B1408" s="138">
        <f>'Expenditures 15-22'!D223</f>
        <v>3930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76824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724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22</v>
      </c>
      <c r="D1416" s="2" t="str">
        <f t="shared" si="21"/>
        <v>Error?</v>
      </c>
    </row>
    <row r="1417" spans="1:4" x14ac:dyDescent="0.2">
      <c r="A1417" s="5">
        <v>1356</v>
      </c>
      <c r="B1417" s="138">
        <f>'Expenditures 15-22'!D238</f>
        <v>746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184</v>
      </c>
      <c r="C1421" s="2" t="s">
        <v>594</v>
      </c>
      <c r="D1421" s="2" t="str">
        <f t="shared" si="21"/>
        <v>Error?</v>
      </c>
    </row>
    <row r="1422" spans="1:4" x14ac:dyDescent="0.2">
      <c r="A1422" s="5">
        <v>1361</v>
      </c>
      <c r="B1422" s="138">
        <f>'Expenditures 15-22'!D245</f>
        <v>249</v>
      </c>
      <c r="D1422" s="2" t="str">
        <f t="shared" si="21"/>
        <v>Error?</v>
      </c>
    </row>
    <row r="1423" spans="1:4" x14ac:dyDescent="0.2">
      <c r="A1423" s="5">
        <v>1362</v>
      </c>
      <c r="B1423" s="138">
        <f>'Expenditures 15-22'!D246</f>
        <v>3755</v>
      </c>
      <c r="D1423" s="2" t="str">
        <f t="shared" si="21"/>
        <v>Error?</v>
      </c>
    </row>
    <row r="1424" spans="1:4" x14ac:dyDescent="0.2">
      <c r="A1424" s="5">
        <v>1363</v>
      </c>
      <c r="B1424" s="138">
        <f>'Expenditures 15-22'!D257</f>
        <v>4004</v>
      </c>
      <c r="C1424" s="2" t="s">
        <v>594</v>
      </c>
      <c r="D1424" s="2" t="str">
        <f t="shared" si="21"/>
        <v>Error?</v>
      </c>
    </row>
    <row r="1425" spans="1:4" x14ac:dyDescent="0.2">
      <c r="A1425" s="5">
        <v>1364</v>
      </c>
      <c r="B1425" s="138">
        <f>'Expenditures 15-22'!D259</f>
        <v>16030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16030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7823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32262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10478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50563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71527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148351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1305</v>
      </c>
      <c r="C1471" s="2" t="s">
        <v>594</v>
      </c>
      <c r="D1471" s="2" t="str">
        <f t="shared" ref="D1471:D1534" si="22">IF(ISBLANK(B1471),"OK",IF(A1471-B1471=0,"OK","Error?"))</f>
        <v>Error?</v>
      </c>
    </row>
    <row r="1472" spans="1:4" x14ac:dyDescent="0.2">
      <c r="A1472" s="5">
        <v>1411</v>
      </c>
      <c r="B1472" s="138">
        <f>'Expenditures 15-22'!K223</f>
        <v>3930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76824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724</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22</v>
      </c>
      <c r="C1480" s="2" t="s">
        <v>594</v>
      </c>
      <c r="D1480" s="2" t="str">
        <f t="shared" si="22"/>
        <v>Error?</v>
      </c>
    </row>
    <row r="1481" spans="1:4" x14ac:dyDescent="0.2">
      <c r="A1481" s="5">
        <v>1420</v>
      </c>
      <c r="B1481" s="138">
        <f>'Expenditures 15-22'!K238</f>
        <v>746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184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184</v>
      </c>
      <c r="C1485" s="2" t="s">
        <v>594</v>
      </c>
      <c r="D1485" s="2" t="str">
        <f t="shared" si="22"/>
        <v>Error?</v>
      </c>
    </row>
    <row r="1486" spans="1:4" x14ac:dyDescent="0.2">
      <c r="A1486" s="5">
        <v>1425</v>
      </c>
      <c r="B1486" s="138">
        <f>'Expenditures 15-22'!K245</f>
        <v>249</v>
      </c>
      <c r="C1486" s="2" t="s">
        <v>594</v>
      </c>
      <c r="D1486" s="2" t="str">
        <f t="shared" si="22"/>
        <v>Error?</v>
      </c>
    </row>
    <row r="1487" spans="1:4" x14ac:dyDescent="0.2">
      <c r="A1487" s="5">
        <v>1426</v>
      </c>
      <c r="B1487" s="138">
        <f>'Expenditures 15-22'!K246</f>
        <v>3755</v>
      </c>
      <c r="C1487" s="2" t="s">
        <v>594</v>
      </c>
      <c r="D1487" s="2" t="str">
        <f t="shared" si="22"/>
        <v>Error?</v>
      </c>
    </row>
    <row r="1488" spans="1:4" x14ac:dyDescent="0.2">
      <c r="A1488" s="5">
        <v>1427</v>
      </c>
      <c r="B1488" s="138">
        <f>'Expenditures 15-22'!K257</f>
        <v>4004</v>
      </c>
      <c r="C1488" s="2" t="s">
        <v>594</v>
      </c>
      <c r="D1488" s="2" t="str">
        <f t="shared" si="22"/>
        <v>Error?</v>
      </c>
    </row>
    <row r="1489" spans="1:4" x14ac:dyDescent="0.2">
      <c r="A1489" s="5">
        <v>1428</v>
      </c>
      <c r="B1489" s="138">
        <f>'Expenditures 15-22'!K259</f>
        <v>16030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16030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7823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32262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10478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50563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71527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148351</v>
      </c>
      <c r="C1517" s="2" t="s">
        <v>594</v>
      </c>
      <c r="D1517" s="2" t="str">
        <f t="shared" si="22"/>
        <v>Error?</v>
      </c>
    </row>
    <row r="1518" spans="1:4" x14ac:dyDescent="0.2">
      <c r="A1518" s="5">
        <v>1457</v>
      </c>
      <c r="B1518" s="138">
        <f>'Expenditures 15-22'!K296</f>
        <v>-4655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615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615</v>
      </c>
      <c r="C1535" s="2" t="s">
        <v>594</v>
      </c>
      <c r="D1535" s="2" t="str">
        <f t="shared" ref="D1535:D1598" si="23">IF(ISBLANK(B1535),"OK",IF(A1535-B1535=0,"OK","Error?"))</f>
        <v>Error?</v>
      </c>
    </row>
    <row r="1536" spans="1:4" x14ac:dyDescent="0.2">
      <c r="A1536" s="5">
        <v>1475</v>
      </c>
      <c r="B1536" s="138">
        <f>'Expenditures 15-22'!E312</f>
        <v>615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180056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180056</v>
      </c>
      <c r="C1547" s="2" t="s">
        <v>594</v>
      </c>
      <c r="D1547" s="2" t="str">
        <f t="shared" si="23"/>
        <v>Error?</v>
      </c>
    </row>
    <row r="1548" spans="1:4" x14ac:dyDescent="0.2">
      <c r="A1548" s="5">
        <v>1487</v>
      </c>
      <c r="B1548" s="138">
        <f>'Expenditures 15-22'!G312</f>
        <v>180056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180671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180671</v>
      </c>
      <c r="C1559" s="2" t="s">
        <v>594</v>
      </c>
      <c r="D1559" s="2" t="str">
        <f t="shared" si="23"/>
        <v>Error?</v>
      </c>
    </row>
    <row r="1560" spans="1:4" x14ac:dyDescent="0.2">
      <c r="A1560" s="5">
        <v>1499</v>
      </c>
      <c r="B1560" s="138">
        <f>'Expenditures 15-22'!K312</f>
        <v>180671</v>
      </c>
      <c r="C1560" s="2" t="s">
        <v>594</v>
      </c>
      <c r="D1560" s="2" t="str">
        <f t="shared" si="23"/>
        <v>Error?</v>
      </c>
    </row>
    <row r="1561" spans="1:4" x14ac:dyDescent="0.2">
      <c r="A1561" s="5">
        <v>1500</v>
      </c>
      <c r="B1561" s="138">
        <f>'Expenditures 15-22'!K313</f>
        <v>62291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3120696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3397666</v>
      </c>
      <c r="C1630" s="2" t="s">
        <v>594</v>
      </c>
      <c r="D1630" s="2" t="str">
        <f t="shared" si="24"/>
        <v>Error?</v>
      </c>
    </row>
    <row r="1631" spans="1:4" x14ac:dyDescent="0.2">
      <c r="A1631" s="5">
        <v>1570</v>
      </c>
      <c r="B1631" s="138">
        <f>'Acct Summary 7-8'!D79</f>
        <v>755051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825040</v>
      </c>
      <c r="C1644" s="2" t="s">
        <v>594</v>
      </c>
      <c r="D1644" s="2" t="str">
        <f t="shared" si="24"/>
        <v>Error?</v>
      </c>
    </row>
    <row r="1645" spans="1:4" x14ac:dyDescent="0.2">
      <c r="A1645" s="5">
        <v>1584</v>
      </c>
      <c r="B1645" s="138">
        <f>'Acct Summary 7-8'!E79</f>
        <v>151602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157974</v>
      </c>
      <c r="C1658" s="2" t="s">
        <v>594</v>
      </c>
      <c r="D1658" s="2" t="str">
        <f t="shared" si="24"/>
        <v>Error?</v>
      </c>
    </row>
    <row r="1659" spans="1:4" x14ac:dyDescent="0.2">
      <c r="A1659" s="5">
        <v>1598</v>
      </c>
      <c r="B1659" s="138">
        <f>'Acct Summary 7-8'!F79</f>
        <v>567644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684211</v>
      </c>
      <c r="C1672" s="2" t="s">
        <v>594</v>
      </c>
      <c r="D1672" s="2" t="str">
        <f t="shared" si="25"/>
        <v>Error?</v>
      </c>
    </row>
    <row r="1673" spans="1:4" x14ac:dyDescent="0.2">
      <c r="A1673" s="5">
        <v>1612</v>
      </c>
      <c r="B1673" s="138">
        <f>'Acct Summary 7-8'!G79</f>
        <v>161512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156857</v>
      </c>
      <c r="C1686" s="2" t="s">
        <v>594</v>
      </c>
      <c r="D1686" s="2" t="str">
        <f t="shared" si="25"/>
        <v>Error?</v>
      </c>
    </row>
    <row r="1687" spans="1:4" x14ac:dyDescent="0.2">
      <c r="A1687" s="5">
        <v>1626</v>
      </c>
      <c r="B1687" s="138">
        <f>'Acct Summary 7-8'!H79</f>
        <v>205631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267922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2068430</v>
      </c>
      <c r="C1744" s="2" t="s">
        <v>594</v>
      </c>
      <c r="D1744" s="2" t="str">
        <f t="shared" si="26"/>
        <v>Error?</v>
      </c>
    </row>
    <row r="1745" spans="1:5" x14ac:dyDescent="0.2">
      <c r="A1745" s="5">
        <v>1684</v>
      </c>
      <c r="B1745" s="138">
        <f>'Tax Sched 23'!B5</f>
        <v>391461</v>
      </c>
      <c r="C1745" s="2" t="s">
        <v>594</v>
      </c>
      <c r="D1745" s="2" t="str">
        <f t="shared" si="26"/>
        <v>Error?</v>
      </c>
    </row>
    <row r="1746" spans="1:5" x14ac:dyDescent="0.2">
      <c r="A1746" s="5">
        <v>1685</v>
      </c>
      <c r="B1746" s="138">
        <f>'Tax Sched 23'!B6</f>
        <v>590122</v>
      </c>
      <c r="C1746" s="2" t="s">
        <v>594</v>
      </c>
      <c r="D1746" s="2" t="str">
        <f t="shared" si="26"/>
        <v>Error?</v>
      </c>
    </row>
    <row r="1747" spans="1:5" x14ac:dyDescent="0.2">
      <c r="A1747" s="5">
        <v>1686</v>
      </c>
      <c r="B1747" s="138">
        <f>'Tax Sched 23'!B7</f>
        <v>231414</v>
      </c>
      <c r="C1747" s="2" t="s">
        <v>594</v>
      </c>
      <c r="D1747" s="2" t="str">
        <f t="shared" si="26"/>
        <v>Error?</v>
      </c>
    </row>
    <row r="1748" spans="1:5" x14ac:dyDescent="0.2">
      <c r="A1748" s="5">
        <v>1687</v>
      </c>
      <c r="B1748" s="138">
        <f>'Tax Sched 23'!B8</f>
        <v>61740</v>
      </c>
      <c r="C1748" s="2" t="s">
        <v>594</v>
      </c>
      <c r="D1748" s="2" t="str">
        <f t="shared" si="26"/>
        <v>Error?</v>
      </c>
    </row>
    <row r="1749" spans="1:5" x14ac:dyDescent="0.2">
      <c r="A1749" s="5">
        <v>1688</v>
      </c>
      <c r="B1749" s="138">
        <f>'Tax Sched 23'!B10</f>
        <v>25977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144274</v>
      </c>
      <c r="C1752" s="2" t="s">
        <v>594</v>
      </c>
      <c r="D1752" s="2" t="str">
        <f t="shared" si="26"/>
        <v>Error?</v>
      </c>
    </row>
    <row r="1753" spans="1:5" x14ac:dyDescent="0.2">
      <c r="A1753" s="5">
        <v>1692</v>
      </c>
      <c r="B1753" s="138">
        <f>'Tax Sched 23'!B12</f>
        <v>21165</v>
      </c>
      <c r="C1753" s="2" t="s">
        <v>594</v>
      </c>
      <c r="D1753" s="2" t="str">
        <f t="shared" si="26"/>
        <v>Error?</v>
      </c>
    </row>
    <row r="1754" spans="1:5" x14ac:dyDescent="0.2">
      <c r="A1754" s="5">
        <v>1693</v>
      </c>
      <c r="B1754" s="138">
        <f>'Tax Sched 23'!B14</f>
        <v>187918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3828063</v>
      </c>
      <c r="C1759" s="2" t="s">
        <v>594</v>
      </c>
      <c r="D1759" s="2" t="str">
        <f t="shared" si="26"/>
        <v>Error?</v>
      </c>
    </row>
    <row r="1760" spans="1:5" x14ac:dyDescent="0.2">
      <c r="A1760" s="5">
        <v>1699</v>
      </c>
      <c r="B1760" s="138">
        <f>'Tax Sched 23'!D4</f>
        <v>1646741</v>
      </c>
      <c r="C1760" s="2" t="s">
        <v>594</v>
      </c>
      <c r="D1760" s="2" t="str">
        <f t="shared" si="26"/>
        <v>Error?</v>
      </c>
    </row>
    <row r="1761" spans="1:5" x14ac:dyDescent="0.2">
      <c r="A1761" s="5">
        <v>1700</v>
      </c>
      <c r="B1761" s="138">
        <f>'Tax Sched 23'!D5</f>
        <v>311658</v>
      </c>
      <c r="C1761" s="2" t="s">
        <v>594</v>
      </c>
      <c r="D1761" s="2" t="str">
        <f t="shared" si="26"/>
        <v>Error?</v>
      </c>
    </row>
    <row r="1762" spans="1:5" s="8" customFormat="1" x14ac:dyDescent="0.2">
      <c r="A1762" s="5">
        <v>1701</v>
      </c>
      <c r="B1762" s="138">
        <f>'Tax Sched 23'!D6</f>
        <v>468370</v>
      </c>
      <c r="C1762" s="2" t="s">
        <v>594</v>
      </c>
      <c r="D1762" s="2" t="str">
        <f t="shared" si="26"/>
        <v>Error?</v>
      </c>
      <c r="E1762" s="9"/>
    </row>
    <row r="1763" spans="1:5" x14ac:dyDescent="0.2">
      <c r="A1763" s="5">
        <v>1702</v>
      </c>
      <c r="B1763" s="138">
        <f>'Tax Sched 23'!D7</f>
        <v>184686</v>
      </c>
      <c r="C1763" s="2" t="s">
        <v>594</v>
      </c>
      <c r="D1763" s="2" t="str">
        <f t="shared" si="26"/>
        <v>Error?</v>
      </c>
    </row>
    <row r="1764" spans="1:5" x14ac:dyDescent="0.2">
      <c r="A1764" s="5">
        <v>1703</v>
      </c>
      <c r="B1764" s="138">
        <f>'Tax Sched 23'!D8</f>
        <v>47712</v>
      </c>
      <c r="C1764" s="2" t="s">
        <v>594</v>
      </c>
      <c r="D1764" s="2" t="str">
        <f t="shared" si="26"/>
        <v>Error?</v>
      </c>
    </row>
    <row r="1765" spans="1:5" x14ac:dyDescent="0.2">
      <c r="A1765" s="5">
        <v>1704</v>
      </c>
      <c r="B1765" s="138">
        <f>'Tax Sched 23'!D10</f>
        <v>20783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115430</v>
      </c>
      <c r="C1768" s="2" t="s">
        <v>594</v>
      </c>
      <c r="D1768" s="2" t="str">
        <f t="shared" si="26"/>
        <v>Error?</v>
      </c>
    </row>
    <row r="1769" spans="1:5" x14ac:dyDescent="0.2">
      <c r="A1769" s="5">
        <v>1708</v>
      </c>
      <c r="B1769" s="138">
        <f>'Tax Sched 23'!D12</f>
        <v>16934</v>
      </c>
      <c r="C1769" s="2" t="s">
        <v>594</v>
      </c>
      <c r="D1769" s="2" t="str">
        <f t="shared" si="26"/>
        <v>Error?</v>
      </c>
    </row>
    <row r="1770" spans="1:5" x14ac:dyDescent="0.2">
      <c r="A1770" s="5">
        <v>1709</v>
      </c>
      <c r="B1770" s="138">
        <f>'Tax Sched 23'!D14</f>
        <v>153906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3052800</v>
      </c>
      <c r="C1775" s="2" t="s">
        <v>594</v>
      </c>
      <c r="D1775" s="2" t="str">
        <f t="shared" si="26"/>
        <v>Error?</v>
      </c>
    </row>
    <row r="1776" spans="1:5" x14ac:dyDescent="0.2">
      <c r="A1776" s="5">
        <v>1715</v>
      </c>
      <c r="B1776" s="138">
        <f>'Tax Sched 23'!C4</f>
        <v>421689</v>
      </c>
      <c r="D1776" s="2" t="str">
        <f t="shared" si="26"/>
        <v>Error?</v>
      </c>
    </row>
    <row r="1777" spans="1:4" x14ac:dyDescent="0.2">
      <c r="A1777" s="5">
        <v>1716</v>
      </c>
      <c r="B1777" s="138">
        <f>'Tax Sched 23'!C5</f>
        <v>79803</v>
      </c>
      <c r="D1777" s="2" t="str">
        <f t="shared" si="26"/>
        <v>Error?</v>
      </c>
    </row>
    <row r="1778" spans="1:4" x14ac:dyDescent="0.2">
      <c r="A1778" s="5">
        <v>1717</v>
      </c>
      <c r="B1778" s="138">
        <f>'Tax Sched 23'!C6</f>
        <v>121752</v>
      </c>
      <c r="D1778" s="2" t="str">
        <f t="shared" si="26"/>
        <v>Error?</v>
      </c>
    </row>
    <row r="1779" spans="1:4" x14ac:dyDescent="0.2">
      <c r="A1779" s="5">
        <v>1718</v>
      </c>
      <c r="B1779" s="138">
        <f>'Tax Sched 23'!C7</f>
        <v>46728</v>
      </c>
      <c r="D1779" s="2" t="str">
        <f t="shared" si="26"/>
        <v>Error?</v>
      </c>
    </row>
    <row r="1780" spans="1:4" x14ac:dyDescent="0.2">
      <c r="A1780" s="5">
        <v>1719</v>
      </c>
      <c r="B1780" s="138">
        <f>'Tax Sched 23'!C8</f>
        <v>14028</v>
      </c>
      <c r="D1780" s="2" t="str">
        <f t="shared" si="26"/>
        <v>Error?</v>
      </c>
    </row>
    <row r="1781" spans="1:4" x14ac:dyDescent="0.2">
      <c r="A1781" s="5">
        <v>1720</v>
      </c>
      <c r="B1781" s="138">
        <f>'Tax Sched 23'!C10</f>
        <v>5194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28844</v>
      </c>
      <c r="D1784" s="2" t="str">
        <f t="shared" si="26"/>
        <v>Error?</v>
      </c>
    </row>
    <row r="1785" spans="1:4" x14ac:dyDescent="0.2">
      <c r="A1785" s="5">
        <v>1724</v>
      </c>
      <c r="B1785" s="138">
        <f>'Tax Sched 23'!C12</f>
        <v>4231</v>
      </c>
      <c r="D1785" s="2" t="str">
        <f t="shared" si="26"/>
        <v>Error?</v>
      </c>
    </row>
    <row r="1786" spans="1:4" x14ac:dyDescent="0.2">
      <c r="A1786" s="5">
        <v>1725</v>
      </c>
      <c r="B1786" s="138">
        <f>'Tax Sched 23'!C14</f>
        <v>34012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775263</v>
      </c>
      <c r="C1791" s="2" t="s">
        <v>594</v>
      </c>
      <c r="D1791" s="2" t="str">
        <f t="shared" ref="D1791:D1854" si="27">IF(ISBLANK(B1791),"OK",IF(A1791-B1791=0,"OK","Error?"))</f>
        <v>Error?</v>
      </c>
    </row>
    <row r="1792" spans="1:4" x14ac:dyDescent="0.2">
      <c r="A1792" s="5">
        <v>1731</v>
      </c>
      <c r="B1792" s="138">
        <f>'Tax Sched 23'!F4</f>
        <v>1727745</v>
      </c>
      <c r="C1792" s="2" t="s">
        <v>594</v>
      </c>
      <c r="D1792" s="2" t="str">
        <f t="shared" si="27"/>
        <v>Error?</v>
      </c>
    </row>
    <row r="1793" spans="1:4" x14ac:dyDescent="0.2">
      <c r="A1793" s="5">
        <v>1732</v>
      </c>
      <c r="B1793" s="138">
        <f>'Tax Sched 23'!F5</f>
        <v>326971</v>
      </c>
      <c r="C1793" s="2" t="s">
        <v>594</v>
      </c>
      <c r="D1793" s="2" t="str">
        <f t="shared" si="27"/>
        <v>Error?</v>
      </c>
    </row>
    <row r="1794" spans="1:4" x14ac:dyDescent="0.2">
      <c r="A1794" s="5">
        <v>1733</v>
      </c>
      <c r="B1794" s="138">
        <f>'Tax Sched 23'!F6</f>
        <v>498843</v>
      </c>
      <c r="C1794" s="2" t="s">
        <v>594</v>
      </c>
      <c r="D1794" s="2" t="str">
        <f t="shared" si="27"/>
        <v>Error?</v>
      </c>
    </row>
    <row r="1795" spans="1:4" x14ac:dyDescent="0.2">
      <c r="A1795" s="5">
        <v>1734</v>
      </c>
      <c r="B1795" s="138">
        <f>'Tax Sched 23'!F7</f>
        <v>191456</v>
      </c>
      <c r="C1795" s="2" t="s">
        <v>594</v>
      </c>
      <c r="D1795" s="2" t="str">
        <f t="shared" si="27"/>
        <v>Error?</v>
      </c>
    </row>
    <row r="1796" spans="1:4" x14ac:dyDescent="0.2">
      <c r="A1796" s="5">
        <v>1735</v>
      </c>
      <c r="B1796" s="138">
        <f>'Tax Sched 23'!F8</f>
        <v>57472</v>
      </c>
      <c r="C1796" s="2" t="s">
        <v>594</v>
      </c>
      <c r="D1796" s="2" t="str">
        <f t="shared" si="27"/>
        <v>Error?</v>
      </c>
    </row>
    <row r="1797" spans="1:4" x14ac:dyDescent="0.2">
      <c r="A1797" s="5">
        <v>1736</v>
      </c>
      <c r="B1797" s="138">
        <f>'Tax Sched 23'!F10</f>
        <v>21280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118184</v>
      </c>
      <c r="C1800" s="2" t="s">
        <v>594</v>
      </c>
      <c r="D1800" s="2" t="str">
        <f t="shared" si="27"/>
        <v>Error?</v>
      </c>
    </row>
    <row r="1801" spans="1:4" x14ac:dyDescent="0.2">
      <c r="A1801" s="5">
        <v>1740</v>
      </c>
      <c r="B1801" s="138">
        <f>'Tax Sched 23'!F12</f>
        <v>17338</v>
      </c>
      <c r="C1801" s="2" t="s">
        <v>594</v>
      </c>
      <c r="D1801" s="2" t="str">
        <f t="shared" si="27"/>
        <v>Error?</v>
      </c>
    </row>
    <row r="1802" spans="1:4" x14ac:dyDescent="0.2">
      <c r="A1802" s="5">
        <v>1741</v>
      </c>
      <c r="B1802" s="138">
        <f>'Tax Sched 23'!F14</f>
        <v>139354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3176420</v>
      </c>
      <c r="C1807" s="2" t="s">
        <v>594</v>
      </c>
      <c r="D1807" s="2" t="str">
        <f t="shared" si="27"/>
        <v>Error?</v>
      </c>
    </row>
    <row r="1808" spans="1:4" x14ac:dyDescent="0.2">
      <c r="A1808" s="5">
        <v>1747</v>
      </c>
      <c r="B1808" s="138">
        <f>'Tax Sched 23'!E4</f>
        <v>2149434</v>
      </c>
      <c r="D1808" s="2" t="str">
        <f t="shared" si="27"/>
        <v>Error?</v>
      </c>
    </row>
    <row r="1809" spans="1:4" x14ac:dyDescent="0.2">
      <c r="A1809" s="5">
        <v>1748</v>
      </c>
      <c r="B1809" s="138">
        <f>'Tax Sched 23'!E5</f>
        <v>406774</v>
      </c>
      <c r="D1809" s="2" t="str">
        <f t="shared" si="27"/>
        <v>Error?</v>
      </c>
    </row>
    <row r="1810" spans="1:4" x14ac:dyDescent="0.2">
      <c r="A1810" s="5">
        <v>1749</v>
      </c>
      <c r="B1810" s="138">
        <f>'Tax Sched 23'!E6</f>
        <v>620595</v>
      </c>
      <c r="D1810" s="2" t="str">
        <f t="shared" si="27"/>
        <v>Error?</v>
      </c>
    </row>
    <row r="1811" spans="1:4" x14ac:dyDescent="0.2">
      <c r="A1811" s="5">
        <v>1750</v>
      </c>
      <c r="B1811" s="138">
        <f>'Tax Sched 23'!E7</f>
        <v>238184</v>
      </c>
      <c r="D1811" s="2" t="str">
        <f t="shared" si="27"/>
        <v>Error?</v>
      </c>
    </row>
    <row r="1812" spans="1:4" x14ac:dyDescent="0.2">
      <c r="A1812" s="5">
        <v>1751</v>
      </c>
      <c r="B1812" s="138">
        <f>'Tax Sched 23'!E8</f>
        <v>71500</v>
      </c>
      <c r="D1812" s="2" t="str">
        <f t="shared" si="27"/>
        <v>Error?</v>
      </c>
    </row>
    <row r="1813" spans="1:4" x14ac:dyDescent="0.2">
      <c r="A1813" s="5">
        <v>1752</v>
      </c>
      <c r="B1813" s="138">
        <f>'Tax Sched 23'!E10</f>
        <v>26474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147028</v>
      </c>
      <c r="D1816" s="2" t="str">
        <f t="shared" si="27"/>
        <v>Error?</v>
      </c>
    </row>
    <row r="1817" spans="1:4" x14ac:dyDescent="0.2">
      <c r="A1817" s="5">
        <v>1756</v>
      </c>
      <c r="B1817" s="138">
        <f>'Tax Sched 23'!E12</f>
        <v>21569</v>
      </c>
      <c r="D1817" s="2" t="str">
        <f t="shared" si="27"/>
        <v>Error?</v>
      </c>
    </row>
    <row r="1818" spans="1:4" x14ac:dyDescent="0.2">
      <c r="A1818" s="5">
        <v>1757</v>
      </c>
      <c r="B1818" s="138">
        <f>'Tax Sched 23'!E14</f>
        <v>173366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3951683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2313553</v>
      </c>
      <c r="C1939" s="2" t="s">
        <v>594</v>
      </c>
      <c r="D1939" s="2" t="str">
        <f t="shared" si="29"/>
        <v>Error?</v>
      </c>
    </row>
    <row r="1940" spans="1:5" x14ac:dyDescent="0.2">
      <c r="A1940" s="5">
        <v>1879</v>
      </c>
      <c r="B1940" s="138">
        <f>'Short-Term Long-Term Debt 24'!F49</f>
        <v>20416</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187918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187918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187918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201300</v>
      </c>
      <c r="D2008" s="2" t="str">
        <f t="shared" si="30"/>
        <v>Error?</v>
      </c>
    </row>
    <row r="2009" spans="1:4" x14ac:dyDescent="0.2">
      <c r="A2009" s="5">
        <v>1948</v>
      </c>
      <c r="B2009" s="138">
        <f>'Cap Outlay Deprec 26'!C8</f>
        <v>12987778</v>
      </c>
      <c r="D2009" s="2" t="str">
        <f t="shared" si="30"/>
        <v>Error?</v>
      </c>
    </row>
    <row r="2010" spans="1:4" x14ac:dyDescent="0.2">
      <c r="A2010" s="5">
        <v>1949</v>
      </c>
      <c r="B2010" s="138">
        <f>'Cap Outlay Deprec 26'!C10</f>
        <v>626322</v>
      </c>
      <c r="D2010" s="2" t="str">
        <f t="shared" si="30"/>
        <v>Error?</v>
      </c>
    </row>
    <row r="2011" spans="1:4" x14ac:dyDescent="0.2">
      <c r="A2011" s="5">
        <v>1950</v>
      </c>
      <c r="B2011" s="138">
        <f>'Cap Outlay Deprec 26'!C12</f>
        <v>704264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14584308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195895</v>
      </c>
      <c r="D2015" s="2" t="str">
        <f t="shared" si="30"/>
        <v>Error?</v>
      </c>
    </row>
    <row r="2016" spans="1:4" x14ac:dyDescent="0.2">
      <c r="A2016" s="5">
        <v>1955</v>
      </c>
      <c r="B2016" s="138">
        <f>'Cap Outlay Deprec 26'!D10</f>
        <v>25878</v>
      </c>
      <c r="D2016" s="2" t="str">
        <f t="shared" si="30"/>
        <v>Error?</v>
      </c>
    </row>
    <row r="2017" spans="1:4" x14ac:dyDescent="0.2">
      <c r="A2017" s="5">
        <v>1956</v>
      </c>
      <c r="B2017" s="138">
        <f>'Cap Outlay Deprec 26'!D12</f>
        <v>76373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298146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59676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124320</v>
      </c>
      <c r="C2025" s="2" t="s">
        <v>594</v>
      </c>
      <c r="D2025" s="2" t="str">
        <f t="shared" si="30"/>
        <v>Error?</v>
      </c>
    </row>
    <row r="2026" spans="1:4" x14ac:dyDescent="0.2">
      <c r="A2026" s="5">
        <v>1965</v>
      </c>
      <c r="B2026" s="138">
        <f>'Cap Outlay Deprec 26'!F5</f>
        <v>201300</v>
      </c>
      <c r="C2026" s="2" t="s">
        <v>594</v>
      </c>
      <c r="D2026" s="2" t="str">
        <f t="shared" si="30"/>
        <v>Error?</v>
      </c>
    </row>
    <row r="2027" spans="1:4" x14ac:dyDescent="0.2">
      <c r="A2027" s="5">
        <v>1966</v>
      </c>
      <c r="B2027" s="138">
        <f>'Cap Outlay Deprec 26'!F8</f>
        <v>13183673</v>
      </c>
      <c r="C2027" s="2" t="s">
        <v>594</v>
      </c>
      <c r="D2027" s="2" t="str">
        <f t="shared" si="30"/>
        <v>Error?</v>
      </c>
    </row>
    <row r="2028" spans="1:4" x14ac:dyDescent="0.2">
      <c r="A2028" s="5">
        <v>1967</v>
      </c>
      <c r="B2028" s="138">
        <f>'Cap Outlay Deprec 26'!F10</f>
        <v>652200</v>
      </c>
      <c r="C2028" s="2" t="s">
        <v>594</v>
      </c>
      <c r="D2028" s="2" t="str">
        <f t="shared" si="30"/>
        <v>Error?</v>
      </c>
    </row>
    <row r="2029" spans="1:4" x14ac:dyDescent="0.2">
      <c r="A2029" s="5">
        <v>1968</v>
      </c>
      <c r="B2029" s="138">
        <f>'Cap Outlay Deprec 26'!F12</f>
        <v>720961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14758134</v>
      </c>
      <c r="C2031" s="2" t="s">
        <v>594</v>
      </c>
      <c r="D2031" s="2" t="str">
        <f t="shared" si="30"/>
        <v>Error?</v>
      </c>
    </row>
    <row r="2032" spans="1:4" x14ac:dyDescent="0.2">
      <c r="A2032" s="10">
        <v>1971</v>
      </c>
      <c r="D2032" s="2" t="str">
        <f t="shared" si="30"/>
        <v>OK</v>
      </c>
    </row>
    <row r="2033" spans="1:4" x14ac:dyDescent="0.2">
      <c r="A2033" s="5">
        <v>1972</v>
      </c>
      <c r="B2033" s="138">
        <f>'Cap Outlay Deprec 26'!H8</f>
        <v>4940590</v>
      </c>
      <c r="D2033" s="2" t="str">
        <f t="shared" si="30"/>
        <v>Error?</v>
      </c>
    </row>
    <row r="2034" spans="1:4" x14ac:dyDescent="0.2">
      <c r="A2034" s="5">
        <v>1973</v>
      </c>
      <c r="B2034" s="138">
        <f>'Cap Outlay Deprec 26'!H10</f>
        <v>308576</v>
      </c>
      <c r="D2034" s="2" t="str">
        <f t="shared" si="30"/>
        <v>Error?</v>
      </c>
    </row>
    <row r="2035" spans="1:4" x14ac:dyDescent="0.2">
      <c r="A2035" s="5">
        <v>1974</v>
      </c>
      <c r="B2035" s="138">
        <f>'Cap Outlay Deprec 26'!H12</f>
        <v>383486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5632652</v>
      </c>
      <c r="C2037" s="2" t="s">
        <v>594</v>
      </c>
      <c r="D2037" s="2" t="str">
        <f t="shared" si="30"/>
        <v>Error?</v>
      </c>
    </row>
    <row r="2038" spans="1:4" x14ac:dyDescent="0.2">
      <c r="A2038" s="10">
        <v>1977</v>
      </c>
      <c r="D2038" s="2" t="str">
        <f t="shared" si="30"/>
        <v>OK</v>
      </c>
    </row>
    <row r="2039" spans="1:4" x14ac:dyDescent="0.2">
      <c r="A2039" s="5">
        <v>1978</v>
      </c>
      <c r="B2039" s="138">
        <f>'Cap Outlay Deprec 26'!I8</f>
        <v>263872</v>
      </c>
      <c r="D2039" s="2" t="str">
        <f t="shared" si="30"/>
        <v>Error?</v>
      </c>
    </row>
    <row r="2040" spans="1:4" x14ac:dyDescent="0.2">
      <c r="A2040" s="5">
        <v>1979</v>
      </c>
      <c r="B2040" s="138">
        <f>'Cap Outlay Deprec 26'!I10</f>
        <v>32396</v>
      </c>
      <c r="D2040" s="2" t="str">
        <f t="shared" si="30"/>
        <v>Error?</v>
      </c>
    </row>
    <row r="2041" spans="1:4" x14ac:dyDescent="0.2">
      <c r="A2041" s="5">
        <v>1980</v>
      </c>
      <c r="B2041" s="138">
        <f>'Cap Outlay Deprec 26'!I12</f>
        <v>70310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366578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59676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59676</v>
      </c>
      <c r="C2049" s="2" t="s">
        <v>594</v>
      </c>
      <c r="D2049" s="2" t="str">
        <f t="shared" si="31"/>
        <v>Error?</v>
      </c>
    </row>
    <row r="2050" spans="1:4" x14ac:dyDescent="0.2">
      <c r="A2050" s="10">
        <v>1989</v>
      </c>
      <c r="D2050" s="2" t="str">
        <f t="shared" si="31"/>
        <v>OK</v>
      </c>
    </row>
    <row r="2051" spans="1:4" x14ac:dyDescent="0.2">
      <c r="A2051" s="5">
        <v>1990</v>
      </c>
      <c r="B2051" s="138">
        <f>'Cap Outlay Deprec 26'!K8</f>
        <v>5204462</v>
      </c>
      <c r="C2051" s="2" t="s">
        <v>594</v>
      </c>
      <c r="D2051" s="2" t="str">
        <f t="shared" si="31"/>
        <v>Error?</v>
      </c>
    </row>
    <row r="2052" spans="1:4" x14ac:dyDescent="0.2">
      <c r="A2052" s="5">
        <v>1991</v>
      </c>
      <c r="B2052" s="138">
        <f>'Cap Outlay Deprec 26'!K10</f>
        <v>340972</v>
      </c>
      <c r="C2052" s="2" t="s">
        <v>594</v>
      </c>
      <c r="D2052" s="2" t="str">
        <f t="shared" si="31"/>
        <v>Error?</v>
      </c>
    </row>
    <row r="2053" spans="1:4" x14ac:dyDescent="0.2">
      <c r="A2053" s="5">
        <v>1992</v>
      </c>
      <c r="B2053" s="138">
        <f>'Cap Outlay Deprec 26'!K12</f>
        <v>394120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5939554</v>
      </c>
      <c r="C2055" s="2" t="s">
        <v>594</v>
      </c>
      <c r="D2055" s="2" t="str">
        <f t="shared" si="31"/>
        <v>Error?</v>
      </c>
    </row>
    <row r="2056" spans="1:4" x14ac:dyDescent="0.2">
      <c r="A2056" s="5">
        <v>1995</v>
      </c>
      <c r="B2056" s="138">
        <f>'Cap Outlay Deprec 26'!L5</f>
        <v>201300</v>
      </c>
      <c r="C2056" s="2" t="s">
        <v>594</v>
      </c>
      <c r="D2056" s="2" t="str">
        <f t="shared" si="31"/>
        <v>Error?</v>
      </c>
    </row>
    <row r="2057" spans="1:4" x14ac:dyDescent="0.2">
      <c r="A2057" s="5">
        <v>1996</v>
      </c>
      <c r="B2057" s="138">
        <f>'Cap Outlay Deprec 26'!L8</f>
        <v>7979211</v>
      </c>
      <c r="C2057" s="2" t="s">
        <v>594</v>
      </c>
      <c r="D2057" s="2" t="str">
        <f t="shared" si="31"/>
        <v>Error?</v>
      </c>
    </row>
    <row r="2058" spans="1:4" x14ac:dyDescent="0.2">
      <c r="A2058" s="5">
        <v>1997</v>
      </c>
      <c r="B2058" s="138">
        <f>'Cap Outlay Deprec 26'!L10</f>
        <v>311228</v>
      </c>
      <c r="C2058" s="2" t="s">
        <v>594</v>
      </c>
      <c r="D2058" s="2" t="str">
        <f t="shared" si="31"/>
        <v>Error?</v>
      </c>
    </row>
    <row r="2059" spans="1:4" x14ac:dyDescent="0.2">
      <c r="A2059" s="5">
        <v>1998</v>
      </c>
      <c r="B2059" s="138">
        <f>'Cap Outlay Deprec 26'!L12</f>
        <v>326841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8818580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170638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372510</v>
      </c>
      <c r="C2088" s="2" t="s">
        <v>594</v>
      </c>
      <c r="D2088" s="2" t="str">
        <f t="shared" si="31"/>
        <v>Error?</v>
      </c>
    </row>
    <row r="2089" spans="1:4" x14ac:dyDescent="0.2">
      <c r="A2089" s="5">
        <v>2028</v>
      </c>
      <c r="B2089" s="138">
        <f>'Expenditures 15-22'!K92</f>
        <v>13146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26181</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8432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81843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267922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2605925</v>
      </c>
      <c r="C2551" s="2" t="s">
        <v>594</v>
      </c>
      <c r="D2551" s="2" t="str">
        <f t="shared" si="38"/>
        <v>Error?</v>
      </c>
    </row>
    <row r="2552" spans="1:4" x14ac:dyDescent="0.2">
      <c r="A2552" s="10">
        <v>2491</v>
      </c>
      <c r="D2552" s="2" t="str">
        <f t="shared" si="38"/>
        <v>OK</v>
      </c>
    </row>
    <row r="2553" spans="1:4" x14ac:dyDescent="0.2">
      <c r="A2553" s="5">
        <v>2492</v>
      </c>
      <c r="B2553" s="138">
        <f>'Acct Summary 7-8'!C6</f>
        <v>1137429</v>
      </c>
      <c r="C2553" s="2" t="s">
        <v>594</v>
      </c>
      <c r="D2553" s="2" t="str">
        <f t="shared" si="38"/>
        <v>Error?</v>
      </c>
    </row>
    <row r="2554" spans="1:4" x14ac:dyDescent="0.2">
      <c r="A2554" s="5">
        <v>2493</v>
      </c>
      <c r="B2554" s="138">
        <f>'Acct Summary 7-8'!C7</f>
        <v>348757</v>
      </c>
      <c r="C2554" s="2" t="s">
        <v>594</v>
      </c>
      <c r="D2554" s="2" t="str">
        <f t="shared" si="38"/>
        <v>Error?</v>
      </c>
    </row>
    <row r="2555" spans="1:4" x14ac:dyDescent="0.2">
      <c r="A2555" s="5">
        <v>2494</v>
      </c>
      <c r="B2555" s="138">
        <f>'Acct Summary 7-8'!C8</f>
        <v>4092111</v>
      </c>
      <c r="C2555" s="2" t="s">
        <v>594</v>
      </c>
      <c r="D2555" s="2" t="str">
        <f t="shared" si="38"/>
        <v>Error?</v>
      </c>
    </row>
    <row r="2556" spans="1:4" x14ac:dyDescent="0.2">
      <c r="A2556" s="5">
        <v>2495</v>
      </c>
      <c r="B2556" s="138">
        <f>'Acct Summary 7-8'!C12</f>
        <v>2697382</v>
      </c>
      <c r="C2556" s="2" t="s">
        <v>594</v>
      </c>
      <c r="D2556" s="2" t="str">
        <f t="shared" si="38"/>
        <v>Error?</v>
      </c>
    </row>
    <row r="2557" spans="1:4" x14ac:dyDescent="0.2">
      <c r="A2557" s="5">
        <v>2496</v>
      </c>
      <c r="B2557" s="138">
        <f>'Acct Summary 7-8'!C13</f>
        <v>753632</v>
      </c>
      <c r="C2557" s="2" t="s">
        <v>594</v>
      </c>
      <c r="D2557" s="2" t="str">
        <f t="shared" si="38"/>
        <v>Error?</v>
      </c>
    </row>
    <row r="2558" spans="1:4" x14ac:dyDescent="0.2">
      <c r="A2558" s="5">
        <v>2497</v>
      </c>
      <c r="B2558" s="138">
        <f>'Acct Summary 7-8'!C14</f>
        <v>3260</v>
      </c>
      <c r="C2558" s="2" t="s">
        <v>594</v>
      </c>
      <c r="D2558" s="2" t="str">
        <f t="shared" si="38"/>
        <v>Error?</v>
      </c>
    </row>
    <row r="2559" spans="1:4" x14ac:dyDescent="0.2">
      <c r="A2559" s="5">
        <v>2498</v>
      </c>
      <c r="B2559" s="138">
        <f>'Acct Summary 7-8'!C15</f>
        <v>385656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3839930</v>
      </c>
      <c r="C2561" s="2" t="s">
        <v>594</v>
      </c>
      <c r="D2561" s="2" t="str">
        <f t="shared" si="39"/>
        <v>Error?</v>
      </c>
    </row>
    <row r="2562" spans="1:4" x14ac:dyDescent="0.2">
      <c r="A2562" s="5">
        <v>2501</v>
      </c>
      <c r="B2562" s="138">
        <f>'Acct Summary 7-8'!C20</f>
        <v>252181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411046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411046</v>
      </c>
      <c r="C2568" s="2" t="s">
        <v>594</v>
      </c>
      <c r="D2568" s="2" t="str">
        <f t="shared" si="39"/>
        <v>Error?</v>
      </c>
    </row>
    <row r="2569" spans="1:4" x14ac:dyDescent="0.2">
      <c r="A2569" s="5">
        <v>2508</v>
      </c>
      <c r="B2569" s="138">
        <f>'Acct Summary 7-8'!D13</f>
        <v>341057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341057</v>
      </c>
      <c r="C2573" s="2" t="s">
        <v>594</v>
      </c>
      <c r="D2573" s="2" t="str">
        <f t="shared" si="39"/>
        <v>Error?</v>
      </c>
    </row>
    <row r="2574" spans="1:4" x14ac:dyDescent="0.2">
      <c r="A2574" s="5">
        <v>2513</v>
      </c>
      <c r="B2574" s="138">
        <f>'Acct Summary 7-8'!D20</f>
        <v>69989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268319</v>
      </c>
      <c r="C2591" s="2" t="s">
        <v>594</v>
      </c>
      <c r="D2591" s="2" t="str">
        <f t="shared" si="39"/>
        <v>Error?</v>
      </c>
    </row>
    <row r="2592" spans="1:4" x14ac:dyDescent="0.2">
      <c r="A2592" s="10">
        <v>2531</v>
      </c>
      <c r="D2592" s="2" t="str">
        <f t="shared" si="39"/>
        <v>OK</v>
      </c>
    </row>
    <row r="2593" spans="1:4" x14ac:dyDescent="0.2">
      <c r="A2593" s="5">
        <v>2532</v>
      </c>
      <c r="B2593" s="138">
        <f>'Acct Summary 7-8'!F6</f>
        <v>236473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504792</v>
      </c>
      <c r="C2595" s="2" t="s">
        <v>594</v>
      </c>
      <c r="D2595" s="2" t="str">
        <f t="shared" si="39"/>
        <v>Error?</v>
      </c>
    </row>
    <row r="2596" spans="1:4" x14ac:dyDescent="0.2">
      <c r="A2596" s="5">
        <v>2535</v>
      </c>
      <c r="B2596" s="138">
        <f>'Acct Summary 7-8'!F13</f>
        <v>388225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388225</v>
      </c>
      <c r="C2600" s="2" t="s">
        <v>594</v>
      </c>
      <c r="D2600" s="2" t="str">
        <f t="shared" si="39"/>
        <v>Error?</v>
      </c>
    </row>
    <row r="2601" spans="1:4" x14ac:dyDescent="0.2">
      <c r="A2601" s="5">
        <v>2540</v>
      </c>
      <c r="B2601" s="138">
        <f>'Acct Summary 7-8'!F20</f>
        <v>116567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143696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143696</v>
      </c>
      <c r="C2606" s="2" t="s">
        <v>594</v>
      </c>
      <c r="D2606" s="2" t="str">
        <f t="shared" si="39"/>
        <v>Error?</v>
      </c>
    </row>
    <row r="2607" spans="1:4" x14ac:dyDescent="0.2">
      <c r="A2607" s="5">
        <v>2546</v>
      </c>
      <c r="B2607" s="138">
        <f>'Acct Summary 7-8'!G12</f>
        <v>76824</v>
      </c>
      <c r="C2607" s="2" t="s">
        <v>594</v>
      </c>
      <c r="D2607" s="2" t="str">
        <f t="shared" si="39"/>
        <v>Error?</v>
      </c>
    </row>
    <row r="2608" spans="1:4" x14ac:dyDescent="0.2">
      <c r="A2608" s="5">
        <v>2547</v>
      </c>
      <c r="B2608" s="138">
        <f>'Acct Summary 7-8'!G13</f>
        <v>71527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148351</v>
      </c>
      <c r="C2612" s="2" t="s">
        <v>594</v>
      </c>
      <c r="D2612" s="2" t="str">
        <f t="shared" si="39"/>
        <v>Error?</v>
      </c>
    </row>
    <row r="2613" spans="1:4" x14ac:dyDescent="0.2">
      <c r="A2613" s="5">
        <v>2552</v>
      </c>
      <c r="B2613" s="138">
        <f>'Acct Summary 7-8'!G20</f>
        <v>-4655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592761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592761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608197</v>
      </c>
      <c r="C2634" s="2" t="s">
        <v>594</v>
      </c>
      <c r="D2634" s="2" t="str">
        <f t="shared" si="40"/>
        <v>Error?</v>
      </c>
    </row>
    <row r="2635" spans="1:4" x14ac:dyDescent="0.2">
      <c r="A2635" s="5">
        <v>2574</v>
      </c>
      <c r="B2635" s="138">
        <f>'Acct Summary 7-8'!E17</f>
        <v>608197</v>
      </c>
      <c r="C2635" s="2" t="s">
        <v>594</v>
      </c>
      <c r="D2635" s="2" t="str">
        <f t="shared" si="40"/>
        <v>Error?</v>
      </c>
    </row>
    <row r="2636" spans="1:4" x14ac:dyDescent="0.2">
      <c r="A2636" s="5">
        <v>2575</v>
      </c>
      <c r="B2636" s="138">
        <f>'Acct Summary 7-8'!E20</f>
        <v>-15436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242962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242962</v>
      </c>
      <c r="C2658" s="2" t="s">
        <v>594</v>
      </c>
      <c r="D2658" s="2" t="str">
        <f t="shared" si="40"/>
        <v>Error?</v>
      </c>
    </row>
    <row r="2659" spans="1:4" x14ac:dyDescent="0.2">
      <c r="A2659" s="5">
        <v>2598</v>
      </c>
      <c r="B2659" s="138">
        <f>'Acct Summary 7-8'!H13</f>
        <v>180671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180671</v>
      </c>
      <c r="C2661" s="2" t="s">
        <v>594</v>
      </c>
      <c r="D2661" s="2" t="str">
        <f t="shared" si="40"/>
        <v>Error?</v>
      </c>
    </row>
    <row r="2662" spans="1:4" x14ac:dyDescent="0.2">
      <c r="A2662" s="5">
        <v>2601</v>
      </c>
      <c r="B2662" s="138">
        <f>'Acct Summary 7-8'!H20</f>
        <v>62291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933</v>
      </c>
      <c r="D2718" s="2" t="str">
        <f t="shared" si="41"/>
        <v>Error?</v>
      </c>
    </row>
    <row r="2719" spans="1:4" x14ac:dyDescent="0.2">
      <c r="A2719" s="5">
        <v>2658</v>
      </c>
      <c r="B2719" s="138">
        <f>'Expenditures 15-22'!D51</f>
        <v>113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1046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2639</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201872</v>
      </c>
      <c r="C2789" s="2" t="s">
        <v>594</v>
      </c>
      <c r="D2789" s="2" t="str">
        <f t="shared" si="42"/>
        <v>Error?</v>
      </c>
    </row>
    <row r="2790" spans="1:4" x14ac:dyDescent="0.2">
      <c r="A2790" s="5">
        <v>2729</v>
      </c>
      <c r="B2790" s="138">
        <f>'Expenditures 15-22'!E102</f>
        <v>201872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2639</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101042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101042</v>
      </c>
      <c r="D2914" s="2" t="str">
        <f t="shared" si="44"/>
        <v>Error?</v>
      </c>
    </row>
    <row r="2915" spans="1:4" x14ac:dyDescent="0.2">
      <c r="A2915" s="10">
        <v>2854</v>
      </c>
      <c r="D2915" s="2" t="str">
        <f t="shared" si="44"/>
        <v>OK</v>
      </c>
    </row>
    <row r="2916" spans="1:4" x14ac:dyDescent="0.2">
      <c r="A2916" s="5">
        <v>2855</v>
      </c>
      <c r="B2916" s="138">
        <f>'Assets-Liab 5-6'!L34</f>
        <v>101042</v>
      </c>
      <c r="C2916" s="2" t="s">
        <v>594</v>
      </c>
      <c r="D2916" s="2" t="str">
        <f t="shared" si="44"/>
        <v>Error?</v>
      </c>
    </row>
    <row r="2917" spans="1:4" x14ac:dyDescent="0.2">
      <c r="A2917" s="5">
        <v>2856</v>
      </c>
      <c r="B2917" s="138">
        <f>'Assets-Liab 5-6'!L41</f>
        <v>101042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201872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111548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59090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313420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59090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83938</v>
      </c>
      <c r="D3055" s="2" t="str">
        <f t="shared" si="46"/>
        <v>Error?</v>
      </c>
    </row>
    <row r="3056" spans="1:4" x14ac:dyDescent="0.2">
      <c r="A3056" s="5">
        <v>2995</v>
      </c>
      <c r="B3056" s="138">
        <f>'Expenditures 15-22'!D10</f>
        <v>8942</v>
      </c>
      <c r="D3056" s="2" t="str">
        <f t="shared" si="46"/>
        <v>Error?</v>
      </c>
    </row>
    <row r="3057" spans="1:4" x14ac:dyDescent="0.2">
      <c r="A3057" s="5">
        <v>2996</v>
      </c>
      <c r="B3057" s="138">
        <f>'Expenditures 15-22'!E10</f>
        <v>1736</v>
      </c>
      <c r="D3057" s="2" t="str">
        <f t="shared" si="46"/>
        <v>Error?</v>
      </c>
    </row>
    <row r="3058" spans="1:4" x14ac:dyDescent="0.2">
      <c r="A3058" s="5">
        <v>2997</v>
      </c>
      <c r="B3058" s="138">
        <f>'Expenditures 15-22'!F10</f>
        <v>19428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114044</v>
      </c>
      <c r="C3062" s="2" t="s">
        <v>594</v>
      </c>
      <c r="D3062" s="2" t="str">
        <f t="shared" si="46"/>
        <v>Error?</v>
      </c>
    </row>
    <row r="3063" spans="1:4" x14ac:dyDescent="0.2">
      <c r="A3063" s="10">
        <v>3002</v>
      </c>
      <c r="D3063" s="2" t="str">
        <f t="shared" si="46"/>
        <v>OK</v>
      </c>
    </row>
    <row r="3064" spans="1:4" x14ac:dyDescent="0.2">
      <c r="A3064" s="5">
        <v>3003</v>
      </c>
      <c r="B3064" s="138">
        <f>'Expenditures 15-22'!D219</f>
        <v>9103</v>
      </c>
      <c r="D3064" s="2" t="str">
        <f t="shared" si="46"/>
        <v>Error?</v>
      </c>
    </row>
    <row r="3065" spans="1:4" x14ac:dyDescent="0.2">
      <c r="A3065" s="5">
        <v>3004</v>
      </c>
      <c r="B3065" s="138">
        <f>'Expenditures 15-22'!K219</f>
        <v>9103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26181</v>
      </c>
      <c r="C3225" s="2" t="s">
        <v>594</v>
      </c>
      <c r="D3225" s="2" t="str">
        <f t="shared" si="49"/>
        <v>Error?</v>
      </c>
    </row>
    <row r="3226" spans="1:4" x14ac:dyDescent="0.2">
      <c r="A3226" s="5">
        <v>3165</v>
      </c>
      <c r="B3226" s="138">
        <f>'Acct Summary 7-8'!I8</f>
        <v>26181</v>
      </c>
      <c r="C3226" s="2" t="s">
        <v>594</v>
      </c>
      <c r="D3226" s="2" t="str">
        <f t="shared" si="49"/>
        <v>Error?</v>
      </c>
    </row>
    <row r="3227" spans="1:4" x14ac:dyDescent="0.2">
      <c r="A3227" s="5">
        <v>3166</v>
      </c>
      <c r="B3227" s="138">
        <f>'Acct Summary 7-8'!I20</f>
        <v>26181</v>
      </c>
      <c r="C3227" s="2" t="s">
        <v>594</v>
      </c>
      <c r="D3227" s="2" t="str">
        <f t="shared" si="49"/>
        <v>Error?</v>
      </c>
    </row>
    <row r="3228" spans="1:4" x14ac:dyDescent="0.2">
      <c r="A3228" s="5">
        <v>3167</v>
      </c>
      <c r="B3228" s="138">
        <f>'Acct Summary 7-8'!C43</f>
        <v>20416</v>
      </c>
      <c r="D3228" s="2" t="str">
        <f t="shared" si="49"/>
        <v>Error?</v>
      </c>
    </row>
    <row r="3229" spans="1:4" x14ac:dyDescent="0.2">
      <c r="A3229" s="5">
        <v>3168</v>
      </c>
      <c r="B3229" s="138">
        <f>'Acct Summary 7-8'!C44</f>
        <v>49236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24447</v>
      </c>
      <c r="C3231" s="2" t="s">
        <v>594</v>
      </c>
      <c r="D3231" s="2" t="str">
        <f t="shared" si="49"/>
        <v>Error?</v>
      </c>
    </row>
    <row r="3232" spans="1:4" x14ac:dyDescent="0.2">
      <c r="A3232" s="5">
        <v>3171</v>
      </c>
      <c r="B3232" s="138">
        <f>'Acct Summary 7-8'!C77</f>
        <v>24789</v>
      </c>
      <c r="C3232" s="2" t="s">
        <v>594</v>
      </c>
      <c r="D3232" s="2" t="str">
        <f t="shared" si="49"/>
        <v>Error?</v>
      </c>
    </row>
    <row r="3233" spans="1:4" x14ac:dyDescent="0.2">
      <c r="A3233" s="5">
        <v>3172</v>
      </c>
      <c r="B3233" s="138">
        <f>'Acct Summary 7-8'!C78</f>
        <v>276970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69989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116567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-4655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24447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2639</v>
      </c>
      <c r="C3276" s="2" t="s">
        <v>594</v>
      </c>
      <c r="D3276" s="2" t="str">
        <f t="shared" si="50"/>
        <v>Error?</v>
      </c>
    </row>
    <row r="3277" spans="1:4" x14ac:dyDescent="0.2">
      <c r="A3277" s="5">
        <v>3216</v>
      </c>
      <c r="B3277" s="138">
        <f>'Acct Summary 7-8'!E77</f>
        <v>21808</v>
      </c>
      <c r="C3277" s="2" t="s">
        <v>594</v>
      </c>
      <c r="D3277" s="2" t="str">
        <f t="shared" si="50"/>
        <v>Error?</v>
      </c>
    </row>
    <row r="3278" spans="1:4" x14ac:dyDescent="0.2">
      <c r="A3278" s="5">
        <v>3217</v>
      </c>
      <c r="B3278" s="138">
        <f>'Acct Summary 7-8'!E78</f>
        <v>6372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62291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26181</v>
      </c>
      <c r="C3318" s="2" t="s">
        <v>594</v>
      </c>
      <c r="D3318" s="2" t="str">
        <f t="shared" si="50"/>
        <v>Error?</v>
      </c>
    </row>
    <row r="3319" spans="1:4" x14ac:dyDescent="0.2">
      <c r="A3319" s="5">
        <v>3258</v>
      </c>
      <c r="B3319" s="138">
        <f>'Acct Summary 7-8'!I77</f>
        <v>-26181</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242957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54299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630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1773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301190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39123</v>
      </c>
      <c r="D3387" s="2" t="str">
        <f t="shared" si="51"/>
        <v>Error?</v>
      </c>
    </row>
    <row r="3388" spans="1:4" x14ac:dyDescent="0.2">
      <c r="A3388" s="5">
        <v>3327</v>
      </c>
      <c r="B3388" s="138">
        <f>'Expenditures 15-22'!D217</f>
        <v>17592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39123</v>
      </c>
      <c r="C3390" s="2" t="s">
        <v>594</v>
      </c>
      <c r="D3390" s="2" t="str">
        <f t="shared" si="51"/>
        <v>Error?</v>
      </c>
    </row>
    <row r="3391" spans="1:4" x14ac:dyDescent="0.2">
      <c r="A3391" s="5">
        <v>3330</v>
      </c>
      <c r="B3391" s="138">
        <f>'Expenditures 15-22'!K217</f>
        <v>17592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3397757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825100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157974</v>
      </c>
      <c r="D3417" s="2" t="str">
        <f t="shared" si="52"/>
        <v>Error?</v>
      </c>
    </row>
    <row r="3418" spans="1:4" x14ac:dyDescent="0.2">
      <c r="A3418" s="10">
        <v>3357</v>
      </c>
      <c r="D3418" s="2" t="str">
        <f t="shared" si="52"/>
        <v>OK</v>
      </c>
    </row>
    <row r="3419" spans="1:4" x14ac:dyDescent="0.2">
      <c r="A3419" s="5">
        <v>3358</v>
      </c>
      <c r="B3419" s="138">
        <f>'Assets-Liab 5-6'!F4</f>
        <v>684211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156857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267922</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101042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73142</v>
      </c>
      <c r="C3446" s="2" t="s">
        <v>594</v>
      </c>
      <c r="D3446" s="2" t="str">
        <f t="shared" si="52"/>
        <v>Error?</v>
      </c>
    </row>
    <row r="3447" spans="1:4" x14ac:dyDescent="0.2">
      <c r="A3447" s="5">
        <v>3386</v>
      </c>
      <c r="B3447" s="138">
        <f>'Tax Sched 23'!D16</f>
        <v>56565</v>
      </c>
      <c r="C3447" s="2" t="s">
        <v>594</v>
      </c>
      <c r="D3447" s="2" t="str">
        <f t="shared" si="52"/>
        <v>Error?</v>
      </c>
    </row>
    <row r="3448" spans="1:4" x14ac:dyDescent="0.2">
      <c r="A3448" s="5">
        <v>3387</v>
      </c>
      <c r="B3448" s="138">
        <f>'Tax Sched 23'!C16</f>
        <v>16577</v>
      </c>
      <c r="D3448" s="2" t="str">
        <f t="shared" si="52"/>
        <v>Error?</v>
      </c>
    </row>
    <row r="3449" spans="1:4" x14ac:dyDescent="0.2">
      <c r="A3449" s="5">
        <v>3388</v>
      </c>
      <c r="B3449" s="138">
        <f>'Tax Sched 23'!F16</f>
        <v>67923</v>
      </c>
      <c r="C3449" s="2" t="s">
        <v>594</v>
      </c>
      <c r="D3449" s="2" t="str">
        <f t="shared" si="52"/>
        <v>Error?</v>
      </c>
    </row>
    <row r="3450" spans="1:4" x14ac:dyDescent="0.2">
      <c r="A3450" s="5">
        <v>3389</v>
      </c>
      <c r="B3450" s="138">
        <f>'Tax Sched 23'!E16</f>
        <v>84500</v>
      </c>
      <c r="D3450" s="2" t="str">
        <f t="shared" si="52"/>
        <v>Error?</v>
      </c>
    </row>
    <row r="3451" spans="1:4" x14ac:dyDescent="0.2">
      <c r="A3451" s="5">
        <v>3390</v>
      </c>
      <c r="B3451" s="138">
        <f>'Cap Outlay Deprec 26'!C15</f>
        <v>64644</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64644</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101131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101131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101131</v>
      </c>
      <c r="D3567" s="2" t="str">
        <f t="shared" si="54"/>
        <v>Error?</v>
      </c>
    </row>
    <row r="3568" spans="1:4" x14ac:dyDescent="0.2">
      <c r="A3568" s="5">
        <v>3507</v>
      </c>
      <c r="B3568" s="138">
        <f>'Assets-Liab 5-6'!K41</f>
        <v>101131</v>
      </c>
      <c r="C3568" s="2" t="s">
        <v>594</v>
      </c>
      <c r="D3568" s="2" t="str">
        <f t="shared" si="54"/>
        <v>Error?</v>
      </c>
    </row>
    <row r="3569" spans="1:4" x14ac:dyDescent="0.2">
      <c r="A3569" s="5">
        <v>3508</v>
      </c>
      <c r="B3569" s="138">
        <f>'Acct Summary 7-8'!K4</f>
        <v>22406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22406</v>
      </c>
      <c r="C3571" s="2" t="s">
        <v>594</v>
      </c>
      <c r="D3571" s="2" t="str">
        <f t="shared" si="54"/>
        <v>Error?</v>
      </c>
    </row>
    <row r="3572" spans="1:4" x14ac:dyDescent="0.2">
      <c r="A3572" s="5">
        <v>3511</v>
      </c>
      <c r="B3572" s="138">
        <f>'Acct Summary 7-8'!K13</f>
        <v>9255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9255</v>
      </c>
      <c r="C3575" s="2" t="s">
        <v>594</v>
      </c>
      <c r="D3575" s="2" t="str">
        <f t="shared" si="54"/>
        <v>Error?</v>
      </c>
    </row>
    <row r="3576" spans="1:4" x14ac:dyDescent="0.2">
      <c r="A3576" s="5">
        <v>3515</v>
      </c>
      <c r="B3576" s="138">
        <f>'Acct Summary 7-8'!K20</f>
        <v>13151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13151</v>
      </c>
      <c r="C3588" s="2" t="s">
        <v>594</v>
      </c>
      <c r="D3588" s="2" t="str">
        <f t="shared" si="55"/>
        <v>Error?</v>
      </c>
    </row>
    <row r="3589" spans="1:4" x14ac:dyDescent="0.2">
      <c r="A3589" s="5">
        <v>3528</v>
      </c>
      <c r="B3589" s="138">
        <f>'Acct Summary 7-8'!K79</f>
        <v>87980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101131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9255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9255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9255</v>
      </c>
      <c r="C3649" s="2" t="s">
        <v>594</v>
      </c>
      <c r="D3649" s="2" t="str">
        <f t="shared" si="56"/>
        <v>Error?</v>
      </c>
    </row>
    <row r="3650" spans="1:4" x14ac:dyDescent="0.2">
      <c r="A3650" s="5">
        <v>3589</v>
      </c>
      <c r="B3650" s="138">
        <f>'Expenditures 15-22'!G367</f>
        <v>9255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9255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9255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9255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9255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13151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32420</v>
      </c>
      <c r="C3725" s="2" t="s">
        <v>594</v>
      </c>
      <c r="D3725" s="2" t="str">
        <f t="shared" si="57"/>
        <v>Error?</v>
      </c>
    </row>
    <row r="3726" spans="1:4" x14ac:dyDescent="0.2">
      <c r="A3726" s="5">
        <v>3665</v>
      </c>
      <c r="B3726" s="138">
        <f>'Tax Sched 23'!D13</f>
        <v>30015</v>
      </c>
      <c r="C3726" s="2" t="s">
        <v>594</v>
      </c>
      <c r="D3726" s="2" t="str">
        <f t="shared" si="57"/>
        <v>Error?</v>
      </c>
    </row>
    <row r="3727" spans="1:4" x14ac:dyDescent="0.2">
      <c r="A3727" s="5">
        <v>3666</v>
      </c>
      <c r="B3727" s="138">
        <f>'Tax Sched 23'!C13</f>
        <v>2405</v>
      </c>
      <c r="D3727" s="2" t="str">
        <f t="shared" si="57"/>
        <v>Error?</v>
      </c>
    </row>
    <row r="3728" spans="1:4" x14ac:dyDescent="0.2">
      <c r="A3728" s="5">
        <v>3667</v>
      </c>
      <c r="B3728" s="138">
        <f>'Tax Sched 23'!F13</f>
        <v>9854</v>
      </c>
      <c r="C3728" s="2" t="s">
        <v>594</v>
      </c>
      <c r="D3728" s="2" t="str">
        <f t="shared" si="57"/>
        <v>Error?</v>
      </c>
    </row>
    <row r="3729" spans="1:4" x14ac:dyDescent="0.2">
      <c r="A3729" s="5">
        <v>3668</v>
      </c>
      <c r="B3729" s="138">
        <f>'Tax Sched 23'!E13</f>
        <v>12259</v>
      </c>
      <c r="D3729" s="2" t="str">
        <f t="shared" si="57"/>
        <v>Error?</v>
      </c>
    </row>
    <row r="3730" spans="1:4" x14ac:dyDescent="0.2">
      <c r="A3730" s="5">
        <v>3669</v>
      </c>
      <c r="B3730" s="138">
        <f>'ICR Computation 30'!E10</f>
        <v>63532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226604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4318715</v>
      </c>
      <c r="C4122" s="2" t="s">
        <v>594</v>
      </c>
      <c r="D4122" s="2" t="str">
        <f t="shared" si="63"/>
        <v>Error?</v>
      </c>
    </row>
    <row r="4123" spans="1:4" x14ac:dyDescent="0.2">
      <c r="A4123" s="5">
        <v>4062</v>
      </c>
      <c r="B4123" s="138">
        <f>'Acct Summary 7-8'!D10</f>
        <v>411046</v>
      </c>
      <c r="C4123" s="2" t="s">
        <v>594</v>
      </c>
      <c r="D4123" s="2" t="str">
        <f t="shared" si="63"/>
        <v>Error?</v>
      </c>
    </row>
    <row r="4124" spans="1:4" x14ac:dyDescent="0.2">
      <c r="A4124" s="5">
        <v>4063</v>
      </c>
      <c r="B4124" s="138">
        <f>'Acct Summary 7-8'!E10</f>
        <v>592761</v>
      </c>
      <c r="C4124" s="2" t="s">
        <v>594</v>
      </c>
      <c r="D4124" s="2" t="str">
        <f t="shared" si="63"/>
        <v>Error?</v>
      </c>
    </row>
    <row r="4125" spans="1:4" x14ac:dyDescent="0.2">
      <c r="A4125" s="5">
        <v>4064</v>
      </c>
      <c r="B4125" s="138">
        <f>'Acct Summary 7-8'!F10</f>
        <v>504792</v>
      </c>
      <c r="C4125" s="2" t="s">
        <v>594</v>
      </c>
      <c r="D4125" s="2" t="str">
        <f t="shared" si="63"/>
        <v>Error?</v>
      </c>
    </row>
    <row r="4126" spans="1:4" x14ac:dyDescent="0.2">
      <c r="A4126" s="5">
        <v>4065</v>
      </c>
      <c r="B4126" s="138">
        <f>'Acct Summary 7-8'!G10</f>
        <v>143696</v>
      </c>
      <c r="C4126" s="2" t="s">
        <v>594</v>
      </c>
      <c r="D4126" s="2" t="str">
        <f t="shared" si="63"/>
        <v>Error?</v>
      </c>
    </row>
    <row r="4127" spans="1:4" x14ac:dyDescent="0.2">
      <c r="A4127" s="5">
        <v>4066</v>
      </c>
      <c r="B4127" s="138">
        <f>'Acct Summary 7-8'!H10</f>
        <v>242962</v>
      </c>
      <c r="C4127" s="2" t="s">
        <v>594</v>
      </c>
      <c r="D4127" s="2" t="str">
        <f t="shared" si="63"/>
        <v>Error?</v>
      </c>
    </row>
    <row r="4128" spans="1:4" x14ac:dyDescent="0.2">
      <c r="A4128" s="5">
        <v>4067</v>
      </c>
      <c r="B4128" s="138">
        <f>'Acct Summary 7-8'!I10</f>
        <v>26181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22406</v>
      </c>
      <c r="C4130" s="2" t="s">
        <v>594</v>
      </c>
      <c r="D4130" s="2" t="str">
        <f t="shared" si="63"/>
        <v>Error?</v>
      </c>
    </row>
    <row r="4131" spans="1:4" x14ac:dyDescent="0.2">
      <c r="A4131" s="5">
        <v>4070</v>
      </c>
      <c r="B4131" s="138">
        <f>'Acct Summary 7-8'!C18</f>
        <v>226604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4066534</v>
      </c>
      <c r="C4136" s="2" t="s">
        <v>594</v>
      </c>
      <c r="D4136" s="2" t="str">
        <f t="shared" si="63"/>
        <v>Error?</v>
      </c>
    </row>
    <row r="4137" spans="1:4" x14ac:dyDescent="0.2">
      <c r="A4137" s="5">
        <v>4076</v>
      </c>
      <c r="B4137" s="138">
        <f>'Acct Summary 7-8'!D19</f>
        <v>341057</v>
      </c>
      <c r="C4137" s="2" t="s">
        <v>594</v>
      </c>
      <c r="D4137" s="2" t="str">
        <f t="shared" si="63"/>
        <v>Error?</v>
      </c>
    </row>
    <row r="4138" spans="1:4" x14ac:dyDescent="0.2">
      <c r="A4138" s="5">
        <v>4077</v>
      </c>
      <c r="B4138" s="138">
        <f>'Acct Summary 7-8'!E19</f>
        <v>608197</v>
      </c>
      <c r="C4138" s="2" t="s">
        <v>594</v>
      </c>
      <c r="D4138" s="2" t="str">
        <f t="shared" si="63"/>
        <v>Error?</v>
      </c>
    </row>
    <row r="4139" spans="1:4" x14ac:dyDescent="0.2">
      <c r="A4139" s="5">
        <v>4078</v>
      </c>
      <c r="B4139" s="138">
        <f>'Acct Summary 7-8'!F19</f>
        <v>388225</v>
      </c>
      <c r="C4139" s="2" t="s">
        <v>594</v>
      </c>
      <c r="D4139" s="2" t="str">
        <f t="shared" si="63"/>
        <v>Error?</v>
      </c>
    </row>
    <row r="4140" spans="1:4" x14ac:dyDescent="0.2">
      <c r="A4140" s="5">
        <v>4079</v>
      </c>
      <c r="B4140" s="138">
        <f>'Acct Summary 7-8'!G19</f>
        <v>148351</v>
      </c>
      <c r="C4140" s="2" t="s">
        <v>594</v>
      </c>
      <c r="D4140" s="2" t="str">
        <f t="shared" si="63"/>
        <v>Error?</v>
      </c>
    </row>
    <row r="4141" spans="1:4" x14ac:dyDescent="0.2">
      <c r="A4141" s="5">
        <v>4080</v>
      </c>
      <c r="B4141" s="138">
        <f>'Acct Summary 7-8'!H19</f>
        <v>180671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9255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1809785</v>
      </c>
      <c r="C4171" s="2" t="s">
        <v>594</v>
      </c>
      <c r="D4171" s="2" t="str">
        <f t="shared" si="64"/>
        <v>Error?</v>
      </c>
    </row>
    <row r="4172" spans="1:4" x14ac:dyDescent="0.2">
      <c r="A4172" s="5">
        <v>4111</v>
      </c>
      <c r="B4172" s="138">
        <f>'Short-Term Long-Term Debt 24'!J49</f>
        <v>1651811</v>
      </c>
      <c r="C4172" s="2" t="s">
        <v>594</v>
      </c>
      <c r="D4172" s="2" t="str">
        <f t="shared" si="64"/>
        <v>Error?</v>
      </c>
    </row>
    <row r="4173" spans="1:4" x14ac:dyDescent="0.2">
      <c r="A4173" s="5">
        <v>4112</v>
      </c>
      <c r="B4173" s="138">
        <f>'Short-Term Long-Term Debt 24'!H49</f>
        <v>524184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3483.91</v>
      </c>
      <c r="C4265" s="2" t="s">
        <v>594</v>
      </c>
      <c r="D4265" s="2" t="str">
        <f t="shared" si="65"/>
        <v>Error?</v>
      </c>
      <c r="E4265" s="128"/>
    </row>
    <row r="4266" spans="1:5" x14ac:dyDescent="0.2">
      <c r="A4266" s="12">
        <v>4205</v>
      </c>
      <c r="B4266" s="138">
        <f>('FP Info 3'!F10)*100000</f>
        <v>659.31999999999994</v>
      </c>
      <c r="C4266" s="2" t="s">
        <v>594</v>
      </c>
      <c r="D4266" s="2" t="str">
        <f t="shared" si="65"/>
        <v>Error?</v>
      </c>
      <c r="E4266" s="128"/>
    </row>
    <row r="4267" spans="1:5" x14ac:dyDescent="0.2">
      <c r="A4267" s="12">
        <v>4206</v>
      </c>
      <c r="B4267" s="138">
        <f>('FP Info 3'!H10)*100000</f>
        <v>386.06</v>
      </c>
      <c r="C4267" s="2" t="s">
        <v>594</v>
      </c>
      <c r="D4267" s="2" t="str">
        <f t="shared" si="65"/>
        <v>Error?</v>
      </c>
      <c r="E4267" s="128"/>
    </row>
    <row r="4268" spans="1:5" x14ac:dyDescent="0.2">
      <c r="A4268" s="12">
        <v>4207</v>
      </c>
      <c r="B4268" s="138">
        <f>('FP Info 3'!J10)*100000</f>
        <v>4529</v>
      </c>
      <c r="C4268" s="2" t="s">
        <v>594</v>
      </c>
      <c r="D4268" s="2" t="str">
        <f t="shared" si="65"/>
        <v>Error?</v>
      </c>
    </row>
    <row r="4269" spans="1:5" x14ac:dyDescent="0.2">
      <c r="A4269" s="12">
        <v>4208</v>
      </c>
      <c r="B4269" s="138">
        <f>'FP Info 3'!J16</f>
        <v>4906917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758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4592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33668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25738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42.910000000000004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9318</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65441305</v>
      </c>
      <c r="D4995" s="2" t="str">
        <f t="shared" si="77"/>
        <v>Error?</v>
      </c>
    </row>
    <row r="4996" spans="1:4" x14ac:dyDescent="0.2">
      <c r="A4996" s="12">
        <v>4935</v>
      </c>
      <c r="B4996" s="138">
        <f>'FP Info 3'!H31</f>
        <v>9030900.0899999999</v>
      </c>
      <c r="D4996" s="2" t="str">
        <f t="shared" si="77"/>
        <v>Error?</v>
      </c>
    </row>
    <row r="4997" spans="1:4" x14ac:dyDescent="0.2">
      <c r="A4997" s="12">
        <v>4936</v>
      </c>
      <c r="B4997" s="138">
        <f>'FP Info 3'!H37</f>
        <v>1809785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32420</v>
      </c>
      <c r="D5026" s="2" t="str">
        <f t="shared" si="77"/>
        <v>Error?</v>
      </c>
    </row>
    <row r="5027" spans="1:4" x14ac:dyDescent="0.2">
      <c r="A5027" s="5">
        <v>4966</v>
      </c>
      <c r="B5027" s="138">
        <f>'Revenues 9-14'!F104</f>
        <v>5372</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2068430</v>
      </c>
      <c r="D5061" s="2" t="str">
        <f t="shared" si="78"/>
        <v>Error?</v>
      </c>
    </row>
    <row r="5062" spans="1:4" x14ac:dyDescent="0.2">
      <c r="A5062" s="10">
        <v>5001</v>
      </c>
      <c r="D5062" s="2" t="str">
        <f t="shared" si="78"/>
        <v>OK</v>
      </c>
    </row>
    <row r="5063" spans="1:4" x14ac:dyDescent="0.2">
      <c r="A5063" s="5">
        <v>5002</v>
      </c>
      <c r="B5063" s="138">
        <f>'Revenues 9-14'!C7</f>
        <v>187918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2288768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97237</v>
      </c>
      <c r="D5069" s="2" t="str">
        <f t="shared" si="78"/>
        <v>Error?</v>
      </c>
    </row>
    <row r="5070" spans="1:4" x14ac:dyDescent="0.2">
      <c r="A5070" s="5">
        <v>5009</v>
      </c>
      <c r="B5070" s="138">
        <f>'Revenues 9-14'!C17</f>
        <v>18039</v>
      </c>
      <c r="D5070" s="2" t="str">
        <f t="shared" si="78"/>
        <v>Error?</v>
      </c>
    </row>
    <row r="5071" spans="1:4" x14ac:dyDescent="0.2">
      <c r="A5071" s="5">
        <v>5010</v>
      </c>
      <c r="B5071" s="138">
        <f>'Revenues 9-14'!C18</f>
        <v>115276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51659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51659</v>
      </c>
      <c r="C5090" s="2" t="s">
        <v>594</v>
      </c>
      <c r="D5090" s="2" t="str">
        <f t="shared" si="78"/>
        <v>Error?</v>
      </c>
    </row>
    <row r="5091" spans="1:4" x14ac:dyDescent="0.2">
      <c r="A5091" s="5">
        <v>5030</v>
      </c>
      <c r="B5091" s="138">
        <f>'Revenues 9-14'!C70</f>
        <v>6146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2197</v>
      </c>
      <c r="D5094" s="2" t="str">
        <f t="shared" si="78"/>
        <v>Error?</v>
      </c>
    </row>
    <row r="5095" spans="1:4" x14ac:dyDescent="0.2">
      <c r="A5095" s="5">
        <v>5034</v>
      </c>
      <c r="B5095" s="138">
        <f>'Revenues 9-14'!C74</f>
        <v>295</v>
      </c>
      <c r="D5095" s="2" t="str">
        <f t="shared" si="78"/>
        <v>Error?</v>
      </c>
    </row>
    <row r="5096" spans="1:4" x14ac:dyDescent="0.2">
      <c r="A5096" s="5">
        <v>5035</v>
      </c>
      <c r="B5096" s="138">
        <f>'Revenues 9-14'!C75</f>
        <v>68809</v>
      </c>
      <c r="C5096" s="2" t="s">
        <v>594</v>
      </c>
      <c r="D5096" s="2" t="str">
        <f t="shared" si="78"/>
        <v>Error?</v>
      </c>
    </row>
    <row r="5097" spans="1:4" x14ac:dyDescent="0.2">
      <c r="A5097" s="5">
        <v>5036</v>
      </c>
      <c r="B5097" s="138">
        <f>'Revenues 9-14'!C77</f>
        <v>17100</v>
      </c>
      <c r="D5097" s="2" t="str">
        <f t="shared" si="78"/>
        <v>Error?</v>
      </c>
    </row>
    <row r="5098" spans="1:4" x14ac:dyDescent="0.2">
      <c r="A5098" s="5">
        <v>5037</v>
      </c>
      <c r="B5098" s="138">
        <f>'Revenues 9-14'!C78</f>
        <v>6983</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24083</v>
      </c>
      <c r="C5102" s="2" t="s">
        <v>594</v>
      </c>
      <c r="D5102" s="2" t="str">
        <f t="shared" si="78"/>
        <v>Error?</v>
      </c>
    </row>
    <row r="5103" spans="1:4" x14ac:dyDescent="0.2">
      <c r="A5103" s="5">
        <v>5042</v>
      </c>
      <c r="B5103" s="138">
        <f>'Revenues 9-14'!C84</f>
        <v>22636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22636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30743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34694</v>
      </c>
      <c r="C5120" s="2" t="s">
        <v>594</v>
      </c>
      <c r="D5120" s="2" t="str">
        <f t="shared" si="79"/>
        <v>Error?</v>
      </c>
    </row>
    <row r="5121" spans="1:4" x14ac:dyDescent="0.2">
      <c r="A5121" s="5">
        <v>5060</v>
      </c>
      <c r="B5121" s="138">
        <f>'Revenues 9-14'!C109</f>
        <v>2605925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979639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979639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25516</v>
      </c>
      <c r="D5134" s="2" t="str">
        <f t="shared" si="79"/>
        <v>Error?</v>
      </c>
    </row>
    <row r="5135" spans="1:4" x14ac:dyDescent="0.2">
      <c r="A5135" s="5">
        <v>5074</v>
      </c>
      <c r="B5135" s="138">
        <f>'Revenues 9-14'!C126</f>
        <v>32398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209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58123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1891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10553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807</v>
      </c>
      <c r="D5167" s="2" t="str">
        <f t="shared" si="79"/>
        <v>Error?</v>
      </c>
    </row>
    <row r="5168" spans="1:4" x14ac:dyDescent="0.2">
      <c r="A5168" s="5">
        <v>5107</v>
      </c>
      <c r="B5168" s="138">
        <f>'Revenues 9-14'!C147</f>
        <v>4604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750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82203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157790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1137429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9318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54149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7619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61768</v>
      </c>
      <c r="C5246" s="2" t="s">
        <v>594</v>
      </c>
      <c r="D5246" s="2" t="str">
        <f t="shared" si="80"/>
        <v>Error?</v>
      </c>
    </row>
    <row r="5247" spans="1:4" x14ac:dyDescent="0.2">
      <c r="A5247" s="5">
        <v>5186</v>
      </c>
      <c r="B5247" s="138">
        <f>'Revenues 9-14'!C203</f>
        <v>130475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130475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9350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70527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79877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2563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3321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339439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348757</v>
      </c>
      <c r="C5326" s="2" t="s">
        <v>594</v>
      </c>
      <c r="D5326" s="2" t="str">
        <f t="shared" si="82"/>
        <v>Error?</v>
      </c>
    </row>
    <row r="5327" spans="1:4" x14ac:dyDescent="0.2">
      <c r="A5327" s="5">
        <v>5266</v>
      </c>
      <c r="B5327" s="138">
        <f>'Revenues 9-14'!C275</f>
        <v>4092111</v>
      </c>
      <c r="C5327" s="2" t="s">
        <v>594</v>
      </c>
      <c r="D5327" s="2" t="str">
        <f t="shared" si="82"/>
        <v>Error?</v>
      </c>
    </row>
    <row r="5328" spans="1:4" x14ac:dyDescent="0.2">
      <c r="A5328" s="5">
        <v>5267</v>
      </c>
      <c r="B5328" s="138">
        <f>'Revenues 9-14'!D5</f>
        <v>391461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391461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11685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11685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7800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7900</v>
      </c>
      <c r="C5355" s="2" t="s">
        <v>594</v>
      </c>
      <c r="D5355" s="2" t="str">
        <f t="shared" si="82"/>
        <v>Error?</v>
      </c>
    </row>
    <row r="5356" spans="1:4" x14ac:dyDescent="0.2">
      <c r="A5356" s="5">
        <v>5295</v>
      </c>
      <c r="B5356" s="138">
        <f>'Revenues 9-14'!D109</f>
        <v>411046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411046</v>
      </c>
      <c r="C5508" s="2" t="s">
        <v>594</v>
      </c>
      <c r="D5508" s="2" t="str">
        <f t="shared" si="85"/>
        <v>Error?</v>
      </c>
    </row>
    <row r="5509" spans="1:4" x14ac:dyDescent="0.2">
      <c r="A5509" s="5">
        <v>5448</v>
      </c>
      <c r="B5509" s="138">
        <f>'Revenues 9-14'!E5</f>
        <v>590122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590122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2639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2639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592761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592761</v>
      </c>
      <c r="C5552" s="2" t="s">
        <v>594</v>
      </c>
      <c r="D5552" s="2" t="str">
        <f t="shared" si="85"/>
        <v>Error?</v>
      </c>
    </row>
    <row r="5553" spans="1:4" x14ac:dyDescent="0.2">
      <c r="A5553" s="5">
        <v>5492</v>
      </c>
      <c r="B5553" s="138">
        <f>'Revenues 9-14'!F5</f>
        <v>231414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231414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4175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4175</v>
      </c>
      <c r="C5579" s="2" t="s">
        <v>594</v>
      </c>
      <c r="D5579" s="2" t="str">
        <f t="shared" si="86"/>
        <v>Error?</v>
      </c>
    </row>
    <row r="5580" spans="1:4" x14ac:dyDescent="0.2">
      <c r="A5580" s="5">
        <v>5519</v>
      </c>
      <c r="B5580" s="138">
        <f>'Revenues 9-14'!F65</f>
        <v>9532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9532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17826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23198</v>
      </c>
      <c r="C5587" s="2" t="s">
        <v>594</v>
      </c>
      <c r="D5587" s="2" t="str">
        <f t="shared" si="86"/>
        <v>Error?</v>
      </c>
    </row>
    <row r="5588" spans="1:4" x14ac:dyDescent="0.2">
      <c r="A5588" s="5">
        <v>5527</v>
      </c>
      <c r="B5588" s="138">
        <f>'Revenues 9-14'!F109</f>
        <v>268319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100457</v>
      </c>
      <c r="D5615" s="2" t="str">
        <f t="shared" si="86"/>
        <v>Error?</v>
      </c>
    </row>
    <row r="5616" spans="1:4" x14ac:dyDescent="0.2">
      <c r="A5616" s="10">
        <v>5555</v>
      </c>
      <c r="D5616" s="2" t="str">
        <f t="shared" si="86"/>
        <v>OK</v>
      </c>
    </row>
    <row r="5617" spans="1:4" x14ac:dyDescent="0.2">
      <c r="A5617" s="5">
        <v>5556</v>
      </c>
      <c r="B5617" s="138">
        <f>'Revenues 9-14'!F152</f>
        <v>136016</v>
      </c>
      <c r="D5617" s="2" t="str">
        <f t="shared" si="86"/>
        <v>Error?</v>
      </c>
    </row>
    <row r="5618" spans="1:4" x14ac:dyDescent="0.2">
      <c r="A5618" s="5">
        <v>5557</v>
      </c>
      <c r="B5618" s="138">
        <f>'Revenues 9-14'!F154</f>
        <v>236473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236473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236473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504792</v>
      </c>
      <c r="C5720" s="2" t="s">
        <v>594</v>
      </c>
      <c r="D5720" s="2" t="str">
        <f t="shared" si="88"/>
        <v>Error?</v>
      </c>
    </row>
    <row r="5721" spans="1:4" x14ac:dyDescent="0.2">
      <c r="A5721" s="5">
        <v>5660</v>
      </c>
      <c r="B5721" s="138">
        <f>'Revenues 9-14'!G5</f>
        <v>61740</v>
      </c>
      <c r="D5721" s="2" t="str">
        <f t="shared" si="88"/>
        <v>Error?</v>
      </c>
    </row>
    <row r="5722" spans="1:4" x14ac:dyDescent="0.2">
      <c r="A5722" s="5">
        <v>5661</v>
      </c>
      <c r="B5722" s="138">
        <f>'Revenues 9-14'!G7</f>
        <v>0</v>
      </c>
      <c r="D5722" s="2" t="str">
        <f t="shared" si="88"/>
        <v>Error?</v>
      </c>
    </row>
    <row r="5723" spans="1:4" x14ac:dyDescent="0.2">
      <c r="A5723" s="5">
        <v>5662</v>
      </c>
      <c r="B5723" s="138">
        <f>'Revenues 9-14'!G8</f>
        <v>73142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134882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6376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6376</v>
      </c>
      <c r="C5730" s="2" t="s">
        <v>594</v>
      </c>
      <c r="D5730" s="2" t="str">
        <f t="shared" si="88"/>
        <v>Error?</v>
      </c>
    </row>
    <row r="5731" spans="1:4" x14ac:dyDescent="0.2">
      <c r="A5731" s="5">
        <v>5670</v>
      </c>
      <c r="B5731" s="138">
        <f>'Revenues 9-14'!G65</f>
        <v>2438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2438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143696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2170</v>
      </c>
      <c r="C5881" s="2" t="s">
        <v>594</v>
      </c>
      <c r="D5881" s="2" t="str">
        <f t="shared" si="90"/>
        <v>Error?</v>
      </c>
    </row>
    <row r="5882" spans="1:4" x14ac:dyDescent="0.2">
      <c r="A5882" s="5">
        <v>5821</v>
      </c>
      <c r="B5882" s="138">
        <f>'Revenues 9-14'!H96</f>
        <v>5215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240792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242962</v>
      </c>
      <c r="C5915" s="2" t="s">
        <v>594</v>
      </c>
      <c r="D5915" s="2" t="str">
        <f t="shared" si="91"/>
        <v>Error?</v>
      </c>
    </row>
    <row r="5916" spans="1:4" x14ac:dyDescent="0.2">
      <c r="A5916" s="5">
        <v>5855</v>
      </c>
      <c r="B5916" s="138">
        <f>'Revenues 9-14'!I5</f>
        <v>25977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25977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26181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21165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21165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1241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22406</v>
      </c>
      <c r="C6023" s="2" t="s">
        <v>594</v>
      </c>
      <c r="D6023" s="2" t="str">
        <f t="shared" si="93"/>
        <v>Error?</v>
      </c>
    </row>
    <row r="6024" spans="1:5" x14ac:dyDescent="0.2">
      <c r="A6024" s="5">
        <v>5963</v>
      </c>
      <c r="B6024" s="138">
        <f>'Revenues 9-14'!G109</f>
        <v>143696</v>
      </c>
      <c r="C6024" s="2" t="s">
        <v>594</v>
      </c>
      <c r="D6024" s="2" t="str">
        <f t="shared" si="93"/>
        <v>Error?</v>
      </c>
    </row>
    <row r="6025" spans="1:5" x14ac:dyDescent="0.2">
      <c r="A6025" s="5">
        <v>5964</v>
      </c>
      <c r="B6025" s="138">
        <f>'Revenues 9-14'!H109</f>
        <v>242962</v>
      </c>
      <c r="C6025" s="2" t="s">
        <v>594</v>
      </c>
      <c r="D6025" s="2" t="str">
        <f t="shared" si="93"/>
        <v>Error?</v>
      </c>
    </row>
    <row r="6026" spans="1:5" x14ac:dyDescent="0.2">
      <c r="A6026" s="5">
        <v>5965</v>
      </c>
      <c r="B6026" s="138">
        <f>'Revenues 9-14'!I109</f>
        <v>26181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22406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60171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15393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351.86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144985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144985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144985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144985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144985</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24184</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263</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276970</v>
      </c>
      <c r="D6267" s="2" t="str">
        <f t="shared" si="96"/>
        <v>Error?</v>
      </c>
      <c r="E6267" s="2" t="s">
        <v>199</v>
      </c>
    </row>
    <row r="6268" spans="1:5" x14ac:dyDescent="0.2">
      <c r="A6268">
        <v>6207</v>
      </c>
      <c r="B6268" s="138">
        <f>'Acct Summary 7-8'!D82</f>
        <v>69989</v>
      </c>
      <c r="D6268" s="2" t="str">
        <f t="shared" si="96"/>
        <v>Error?</v>
      </c>
      <c r="E6268" s="2" t="s">
        <v>199</v>
      </c>
    </row>
    <row r="6269" spans="1:5" x14ac:dyDescent="0.2">
      <c r="A6269">
        <v>6208</v>
      </c>
      <c r="B6269" s="138">
        <f>'Acct Summary 7-8'!E82</f>
        <v>6372</v>
      </c>
      <c r="D6269" s="2" t="str">
        <f t="shared" si="96"/>
        <v>Error?</v>
      </c>
      <c r="E6269" s="2" t="s">
        <v>199</v>
      </c>
    </row>
    <row r="6270" spans="1:5" x14ac:dyDescent="0.2">
      <c r="A6270">
        <v>6209</v>
      </c>
      <c r="B6270" s="138">
        <f>'Acct Summary 7-8'!F82</f>
        <v>116567</v>
      </c>
      <c r="D6270" s="2" t="str">
        <f t="shared" si="96"/>
        <v>Error?</v>
      </c>
      <c r="E6270" s="2" t="s">
        <v>199</v>
      </c>
    </row>
    <row r="6271" spans="1:5" x14ac:dyDescent="0.2">
      <c r="A6271">
        <v>6210</v>
      </c>
      <c r="B6271" s="138">
        <f>'Acct Summary 7-8'!G82</f>
        <v>-4655</v>
      </c>
      <c r="D6271" s="2" t="str">
        <f t="shared" ref="D6271:D6334" si="97">IF(ISBLANK(B6271),"OK",IF(A6271-B6271=0,"OK","Error?"))</f>
        <v>Error?</v>
      </c>
      <c r="E6271" s="2" t="s">
        <v>199</v>
      </c>
    </row>
    <row r="6272" spans="1:5" x14ac:dyDescent="0.2">
      <c r="A6272">
        <v>6211</v>
      </c>
      <c r="B6272" s="138">
        <f>'Acct Summary 7-8'!H82</f>
        <v>62291</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13151</v>
      </c>
      <c r="D6275" s="2" t="str">
        <f t="shared" si="97"/>
        <v>Error?</v>
      </c>
      <c r="E6275" s="2" t="s">
        <v>199</v>
      </c>
    </row>
    <row r="6276" spans="1:5" x14ac:dyDescent="0.2">
      <c r="A6276">
        <v>6215</v>
      </c>
      <c r="B6276" s="138">
        <f>'Acct Summary 7-8'!C83</f>
        <v>8.1517724225983371E-2</v>
      </c>
      <c r="D6276" s="2" t="str">
        <f t="shared" si="97"/>
        <v>Error?</v>
      </c>
      <c r="E6276" s="2" t="s">
        <v>199</v>
      </c>
    </row>
    <row r="6277" spans="1:5" x14ac:dyDescent="0.2">
      <c r="A6277">
        <v>6216</v>
      </c>
      <c r="B6277" s="138">
        <f>'Acct Summary 7-8'!D83</f>
        <v>8.4831038495103261E-2</v>
      </c>
      <c r="D6277" s="2" t="str">
        <f t="shared" si="97"/>
        <v>Error?</v>
      </c>
      <c r="E6277" s="2" t="s">
        <v>199</v>
      </c>
    </row>
    <row r="6278" spans="1:5" x14ac:dyDescent="0.2">
      <c r="A6278">
        <v>6217</v>
      </c>
      <c r="B6278" s="138">
        <f>'Acct Summary 7-8'!E83</f>
        <v>4.0335751452770706E-2</v>
      </c>
      <c r="D6278" s="2" t="str">
        <f t="shared" si="97"/>
        <v>Error?</v>
      </c>
      <c r="E6278" s="2" t="s">
        <v>199</v>
      </c>
    </row>
    <row r="6279" spans="1:5" x14ac:dyDescent="0.2">
      <c r="A6279">
        <v>6218</v>
      </c>
      <c r="B6279" s="138">
        <f>'Acct Summary 7-8'!F83</f>
        <v>0.17036703589974439</v>
      </c>
      <c r="D6279" s="2" t="str">
        <f t="shared" si="97"/>
        <v>Error?</v>
      </c>
      <c r="E6279" s="2" t="s">
        <v>199</v>
      </c>
    </row>
    <row r="6280" spans="1:5" x14ac:dyDescent="0.2">
      <c r="A6280">
        <v>6219</v>
      </c>
      <c r="B6280" s="138">
        <f>'Acct Summary 7-8'!G83</f>
        <v>-2.9676711909573689E-2</v>
      </c>
      <c r="D6280" s="2" t="str">
        <f t="shared" si="97"/>
        <v>Error?</v>
      </c>
      <c r="E6280" s="2" t="s">
        <v>199</v>
      </c>
    </row>
    <row r="6281" spans="1:5" x14ac:dyDescent="0.2">
      <c r="A6281">
        <v>6220</v>
      </c>
      <c r="B6281" s="138">
        <f>'Acct Summary 7-8'!H83</f>
        <v>0.23249677144840664</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0.13003925601447627</v>
      </c>
      <c r="D6284" s="2" t="str">
        <f t="shared" si="97"/>
        <v>Error?</v>
      </c>
      <c r="E6284" s="2" t="s">
        <v>199</v>
      </c>
    </row>
    <row r="6285" spans="1:5" x14ac:dyDescent="0.2">
      <c r="A6285">
        <v>6224</v>
      </c>
      <c r="B6285" s="138">
        <f>'Acct Summary 7-8'!E37</f>
        <v>24184</v>
      </c>
      <c r="D6285" s="2" t="str">
        <f t="shared" si="97"/>
        <v>Error?</v>
      </c>
      <c r="E6285" s="2" t="s">
        <v>199</v>
      </c>
    </row>
    <row r="6286" spans="1:5" x14ac:dyDescent="0.2">
      <c r="A6286">
        <v>6225</v>
      </c>
      <c r="B6286" s="138">
        <f>'Acct Summary 7-8'!E38</f>
        <v>263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144274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144274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711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711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2481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144985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8662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49261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53847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5618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28848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13146</v>
      </c>
      <c r="D6983" s="2" t="str">
        <f t="shared" si="108"/>
        <v>Error?</v>
      </c>
    </row>
    <row r="6984" spans="1:4" x14ac:dyDescent="0.2">
      <c r="A6984">
        <v>6923</v>
      </c>
      <c r="B6984" s="138">
        <f>'Expenditures 15-22'!K86</f>
        <v>13146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13146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144985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144985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3785</v>
      </c>
      <c r="D7073" s="2" t="str">
        <f t="shared" si="109"/>
        <v>Error?</v>
      </c>
    </row>
    <row r="7074" spans="1:4" x14ac:dyDescent="0.2">
      <c r="A7074">
        <v>7013</v>
      </c>
      <c r="B7074" s="138">
        <f>'Expenditures 15-22'!K216</f>
        <v>3785</v>
      </c>
      <c r="D7074" s="2" t="str">
        <f t="shared" si="109"/>
        <v>Error?</v>
      </c>
    </row>
    <row r="7075" spans="1:4" x14ac:dyDescent="0.2">
      <c r="A7075">
        <v>7014</v>
      </c>
      <c r="B7075" s="138">
        <f>'Expenditures 15-22'!D218</f>
        <v>1640</v>
      </c>
      <c r="D7075" s="2" t="str">
        <f t="shared" si="109"/>
        <v>Error?</v>
      </c>
    </row>
    <row r="7076" spans="1:4" x14ac:dyDescent="0.2">
      <c r="A7076">
        <v>7015</v>
      </c>
      <c r="B7076" s="138">
        <f>'Expenditures 15-22'!K218</f>
        <v>1640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346</v>
      </c>
      <c r="D7079" s="2" t="str">
        <f t="shared" si="109"/>
        <v>Error?</v>
      </c>
    </row>
    <row r="7080" spans="1:4" x14ac:dyDescent="0.2">
      <c r="A7080">
        <v>7019</v>
      </c>
      <c r="B7080" s="138">
        <f>'Expenditures 15-22'!K226</f>
        <v>346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692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38118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38118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105175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105175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105175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39810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144985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105175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39810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144985</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3538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1048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5618</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23855</v>
      </c>
      <c r="D7263" s="2" t="str">
        <f t="shared" si="112"/>
        <v>Error?</v>
      </c>
    </row>
    <row r="7264" spans="1:4" x14ac:dyDescent="0.2">
      <c r="A7264">
        <f t="shared" si="113"/>
        <v>7203</v>
      </c>
      <c r="B7264" s="138">
        <f>'Expenditures 15-22'!D17</f>
        <v>2774</v>
      </c>
      <c r="D7264" s="2" t="str">
        <f t="shared" si="112"/>
        <v>Error?</v>
      </c>
    </row>
    <row r="7265" spans="1:5" x14ac:dyDescent="0.2">
      <c r="A7265">
        <f t="shared" si="113"/>
        <v>7204</v>
      </c>
      <c r="B7265" s="138">
        <f>'Expenditures 15-22'!E17</f>
        <v>2185</v>
      </c>
      <c r="D7265" s="2" t="str">
        <f t="shared" si="112"/>
        <v>Error?</v>
      </c>
    </row>
    <row r="7266" spans="1:5" x14ac:dyDescent="0.2">
      <c r="A7266">
        <f t="shared" si="113"/>
        <v>7205</v>
      </c>
      <c r="B7266" s="138">
        <f>'Expenditures 15-22'!F17</f>
        <v>34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366578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205631</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2170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2481</v>
      </c>
      <c r="D7712" s="2" t="str">
        <f t="shared" si="126"/>
        <v>Error?</v>
      </c>
      <c r="E7712" s="2" t="s">
        <v>881</v>
      </c>
    </row>
    <row r="7713" spans="1:6" x14ac:dyDescent="0.2">
      <c r="A7713">
        <v>7652</v>
      </c>
      <c r="B7713" s="138">
        <f>'Rest Tax Levies-Tort Im 25'!J8</f>
        <v>235577</v>
      </c>
      <c r="D7713" s="2" t="str">
        <f t="shared" si="126"/>
        <v>Error?</v>
      </c>
      <c r="E7713" s="2" t="s">
        <v>881</v>
      </c>
    </row>
    <row r="7714" spans="1:6" x14ac:dyDescent="0.2">
      <c r="A7714">
        <v>7653</v>
      </c>
      <c r="B7714" s="138">
        <f>'Rest Tax Levies-Tort Im 25'!K9</f>
        <v>4605</v>
      </c>
      <c r="D7714" s="2" t="str">
        <f t="shared" si="126"/>
        <v>Error?</v>
      </c>
      <c r="E7714" s="2" t="s">
        <v>881</v>
      </c>
    </row>
    <row r="7715" spans="1:6" x14ac:dyDescent="0.2">
      <c r="A7715">
        <v>7654</v>
      </c>
      <c r="B7715" s="138">
        <f>'Rest Tax Levies-Tort Im 25'!J10</f>
        <v>5215</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242962</v>
      </c>
      <c r="D7718" s="2" t="str">
        <f t="shared" si="126"/>
        <v>Error?</v>
      </c>
      <c r="E7718" s="2" t="s">
        <v>881</v>
      </c>
    </row>
    <row r="7719" spans="1:6" x14ac:dyDescent="0.2">
      <c r="A7719">
        <v>7658</v>
      </c>
      <c r="B7719" s="138">
        <f>'Rest Tax Levies-Tort Im 25'!K12</f>
        <v>7086</v>
      </c>
      <c r="D7719" s="2" t="str">
        <f t="shared" si="126"/>
        <v>Error?</v>
      </c>
      <c r="E7719" s="2" t="s">
        <v>881</v>
      </c>
    </row>
    <row r="7720" spans="1:6" x14ac:dyDescent="0.2">
      <c r="A7720">
        <v>7659</v>
      </c>
      <c r="B7720" s="138">
        <f>'Rest Tax Levies-Tort Im 25'!H14</f>
        <v>187918</v>
      </c>
      <c r="D7720" s="2" t="str">
        <f t="shared" si="126"/>
        <v>Error?</v>
      </c>
      <c r="E7720" s="2" t="s">
        <v>881</v>
      </c>
    </row>
    <row r="7721" spans="1:6" x14ac:dyDescent="0.2">
      <c r="A7721">
        <v>7660</v>
      </c>
      <c r="B7721" s="138">
        <f>'Rest Tax Levies-Tort Im 25'!K14</f>
        <v>7086</v>
      </c>
      <c r="D7721" s="2" t="str">
        <f t="shared" si="126"/>
        <v>Error?</v>
      </c>
      <c r="E7721" s="2" t="s">
        <v>881</v>
      </c>
    </row>
    <row r="7722" spans="1:6" x14ac:dyDescent="0.2">
      <c r="A7722">
        <v>7661</v>
      </c>
      <c r="B7722" s="138">
        <f>'Rest Tax Levies-Tort Im 25'!J15</f>
        <v>180671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180671</v>
      </c>
      <c r="D7730" s="2" t="str">
        <f t="shared" si="126"/>
        <v>Error?</v>
      </c>
      <c r="E7730" s="2" t="s">
        <v>881</v>
      </c>
    </row>
    <row r="7731" spans="1:6" x14ac:dyDescent="0.2">
      <c r="A7731">
        <v>7670</v>
      </c>
      <c r="B7731" s="138">
        <f>'Revenues 9-14'!H103</f>
        <v>235577</v>
      </c>
      <c r="D7731" s="2" t="str">
        <f t="shared" si="126"/>
        <v>Error?</v>
      </c>
      <c r="E7731" s="2" t="s">
        <v>881</v>
      </c>
    </row>
    <row r="7732" spans="1:6" x14ac:dyDescent="0.2">
      <c r="A7732">
        <v>7671</v>
      </c>
      <c r="B7732" s="138">
        <f>'Rest Tax Levies-Tort Im 25'!J24</f>
        <v>267922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267922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357775</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307775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1799</v>
      </c>
      <c r="B4" s="2451"/>
      <c r="C4" s="2451"/>
      <c r="D4" s="2451"/>
      <c r="E4" s="2451"/>
      <c r="F4" s="2451"/>
      <c r="G4" s="2451"/>
      <c r="H4" s="2451"/>
      <c r="I4" s="2451"/>
      <c r="J4" s="2451"/>
      <c r="K4" s="2451"/>
      <c r="L4" s="245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4" t="str">
        <f>COVER!A17</f>
        <v>Warren CUSD 205</v>
      </c>
      <c r="B7" s="2415"/>
      <c r="C7" s="2415"/>
      <c r="D7" s="2452"/>
      <c r="E7" s="2453">
        <f>COVER!A13</f>
        <v>8043205026</v>
      </c>
      <c r="F7" s="2454"/>
      <c r="G7" s="2421" t="str">
        <f>COVER!T23</f>
        <v>066-004238</v>
      </c>
      <c r="H7" s="2422"/>
      <c r="I7" s="2422"/>
      <c r="J7" s="2422"/>
      <c r="K7" s="2422"/>
      <c r="L7" s="242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4"/>
      <c r="B9" s="2425"/>
      <c r="C9" s="2425"/>
      <c r="D9" s="2425"/>
      <c r="E9" s="2425"/>
      <c r="F9" s="2426"/>
      <c r="G9" s="2427" t="str">
        <f>COVER!T13</f>
        <v>BENNING GROUP, LLC</v>
      </c>
      <c r="H9" s="2428"/>
      <c r="I9" s="2428"/>
      <c r="J9" s="2428"/>
      <c r="K9" s="2428"/>
      <c r="L9" s="2429"/>
    </row>
    <row r="10" spans="1:29" ht="13.5" customHeight="1" x14ac:dyDescent="0.2">
      <c r="A10" s="2411" t="str">
        <f>COVER!A38</f>
        <v>SHAWN TESKE</v>
      </c>
      <c r="B10" s="2412"/>
      <c r="C10" s="2412"/>
      <c r="D10" s="2412"/>
      <c r="E10" s="2412"/>
      <c r="F10" s="2413"/>
      <c r="G10" s="2427" t="str">
        <f>COVER!T17</f>
        <v>50 W. DOUGLAS STREET, SUITE 801</v>
      </c>
      <c r="H10" s="2440"/>
      <c r="I10" s="2440"/>
      <c r="J10" s="2440"/>
      <c r="K10" s="2440"/>
      <c r="L10" s="2441"/>
    </row>
    <row r="11" spans="1:29" ht="13.5" customHeight="1" x14ac:dyDescent="0.2">
      <c r="A11" s="1184" t="s">
        <v>1599</v>
      </c>
      <c r="B11" s="1185"/>
      <c r="C11" s="1186"/>
      <c r="D11" s="1191"/>
      <c r="E11" s="1186"/>
      <c r="F11" s="1190"/>
      <c r="G11" s="2427" t="str">
        <f>COVER!T19</f>
        <v>FREEPORT</v>
      </c>
      <c r="H11" s="2440"/>
      <c r="I11" s="2440"/>
      <c r="J11" s="2440"/>
      <c r="K11" s="2440"/>
      <c r="L11" s="2441"/>
    </row>
    <row r="12" spans="1:29" ht="13.5" customHeight="1" x14ac:dyDescent="0.2">
      <c r="A12" s="2445" t="s">
        <v>1598</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1600</v>
      </c>
      <c r="H13" s="2436"/>
      <c r="I13" s="2448" t="str">
        <f>COVER!T25</f>
        <v>jblocker@benninggroup.com</v>
      </c>
      <c r="J13" s="2449"/>
      <c r="K13" s="2449"/>
      <c r="L13" s="2450"/>
    </row>
    <row r="14" spans="1:29" ht="13.5" customHeight="1" x14ac:dyDescent="0.2">
      <c r="A14" s="2427" t="str">
        <f>COVER!A19</f>
        <v>311 WATER STREET</v>
      </c>
      <c r="B14" s="2440"/>
      <c r="C14" s="2440"/>
      <c r="D14" s="2440"/>
      <c r="E14" s="2440"/>
      <c r="F14" s="2441"/>
      <c r="G14" s="1195" t="s">
        <v>1247</v>
      </c>
      <c r="H14" s="1193"/>
      <c r="I14" s="1193"/>
      <c r="J14" s="1193"/>
      <c r="K14" s="1193"/>
      <c r="L14" s="1194"/>
    </row>
    <row r="15" spans="1:29" ht="13.5" customHeight="1" x14ac:dyDescent="0.2">
      <c r="A15" s="2427" t="str">
        <f>COVER!A21</f>
        <v>WARREN</v>
      </c>
      <c r="B15" s="2440"/>
      <c r="C15" s="2440"/>
      <c r="D15" s="2440"/>
      <c r="E15" s="2440"/>
      <c r="F15" s="2441"/>
      <c r="G15" s="2437" t="str">
        <f>COVER!T15</f>
        <v>JENNY L. BLOCKER</v>
      </c>
      <c r="H15" s="2438"/>
      <c r="I15" s="2438"/>
      <c r="J15" s="2438"/>
      <c r="K15" s="2438"/>
      <c r="L15" s="2439"/>
    </row>
    <row r="16" spans="1:29" ht="12.2" customHeight="1" x14ac:dyDescent="0.2">
      <c r="A16" s="2417">
        <f>COVER!A25</f>
        <v>61087</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5" t="s">
        <v>1246</v>
      </c>
      <c r="H17" s="1193"/>
      <c r="I17" s="1193"/>
      <c r="J17" s="1193"/>
      <c r="K17" s="1197" t="s">
        <v>1245</v>
      </c>
      <c r="L17" s="1190"/>
      <c r="M17" s="1183"/>
    </row>
    <row r="18" spans="1:13" ht="12.2" customHeight="1" x14ac:dyDescent="0.2">
      <c r="A18" s="2411"/>
      <c r="B18" s="2412"/>
      <c r="C18" s="2412"/>
      <c r="D18" s="2412"/>
      <c r="E18" s="2412"/>
      <c r="F18" s="2413"/>
      <c r="G18" s="2414" t="str">
        <f>COVER!T21</f>
        <v>815/235-3157</v>
      </c>
      <c r="H18" s="2415"/>
      <c r="I18" s="2415"/>
      <c r="J18" s="2415"/>
      <c r="K18" s="2414" t="str">
        <f>COVER!X21</f>
        <v>815/235-3158</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5" t="str">
        <f>'Single Audit Cover'!A7</f>
        <v>Warren CUSD 205</v>
      </c>
      <c r="B1" s="2451"/>
      <c r="C1" s="2451"/>
      <c r="D1" s="2451"/>
    </row>
    <row r="2" spans="1:11" s="1214" customFormat="1" ht="12.75" x14ac:dyDescent="0.2">
      <c r="A2" s="2456">
        <f>'Single Audit Cover'!E7</f>
        <v>8043205026</v>
      </c>
      <c r="B2" s="2457"/>
      <c r="C2" s="2457"/>
      <c r="D2" s="2457"/>
    </row>
    <row r="3" spans="1:11" s="1214" customFormat="1" ht="12.75" x14ac:dyDescent="0.2">
      <c r="A3" s="2455" t="s">
        <v>1593</v>
      </c>
      <c r="B3" s="2451"/>
      <c r="C3" s="2451"/>
      <c r="D3" s="2451"/>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9" t="str">
        <f>'Single Audit Cover'!A7</f>
        <v>Warren CUSD 205</v>
      </c>
      <c r="B1" s="2459"/>
      <c r="C1" s="2459"/>
      <c r="D1" s="2459"/>
      <c r="E1" s="2459"/>
    </row>
    <row r="2" spans="1:5" x14ac:dyDescent="0.2">
      <c r="A2" s="2460">
        <f>'Single Audit Cover'!E7</f>
        <v>8043205026</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59" t="s">
        <v>1305</v>
      </c>
    </row>
    <row r="10" spans="1:5" x14ac:dyDescent="0.2">
      <c r="A10" s="1260" t="s">
        <v>1304</v>
      </c>
      <c r="B10" s="1261" t="s">
        <v>1303</v>
      </c>
      <c r="C10" s="1261"/>
      <c r="D10" s="1262">
        <f>SUM('Acct Summary 7-8'!C7:K7)</f>
        <v>348757</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15393</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-33668</v>
      </c>
    </row>
    <row r="19" spans="1:4" ht="13.5" thickBot="1" x14ac:dyDescent="0.25">
      <c r="A19" s="1264" t="s">
        <v>1297</v>
      </c>
      <c r="D19" s="1265">
        <f>SUM(D10:D17)</f>
        <v>330482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1"/>
      <c r="B24" s="2461"/>
      <c r="D24" s="1267"/>
    </row>
    <row r="25" spans="1:4" x14ac:dyDescent="0.2">
      <c r="A25" s="2458"/>
      <c r="B25" s="2458"/>
      <c r="D25" s="1267"/>
    </row>
    <row r="26" spans="1:4" x14ac:dyDescent="0.2">
      <c r="A26" s="2458"/>
      <c r="B26" s="2458"/>
      <c r="D26" s="1267"/>
    </row>
    <row r="27" spans="1:4" x14ac:dyDescent="0.2">
      <c r="A27" s="2458"/>
      <c r="B27" s="2458"/>
      <c r="D27" s="1267"/>
    </row>
    <row r="28" spans="1:4" x14ac:dyDescent="0.2">
      <c r="A28" s="2458"/>
      <c r="B28" s="2458"/>
      <c r="D28" s="1267"/>
    </row>
    <row r="29" spans="1:4" x14ac:dyDescent="0.2">
      <c r="A29" s="2458"/>
      <c r="B29" s="2458"/>
      <c r="D29" s="1267"/>
    </row>
    <row r="30" spans="1:4" x14ac:dyDescent="0.2">
      <c r="A30" s="2458"/>
      <c r="B30" s="2458"/>
      <c r="D30" s="1267"/>
    </row>
    <row r="32" spans="1:4" x14ac:dyDescent="0.2">
      <c r="A32" s="1259" t="s">
        <v>1295</v>
      </c>
      <c r="D32" s="1262">
        <f>SUM(D19:D30)</f>
        <v>330482</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8"/>
      <c r="B40" s="2458"/>
      <c r="D40" s="1267"/>
    </row>
    <row r="41" spans="1:4" x14ac:dyDescent="0.2">
      <c r="A41" s="2458"/>
      <c r="B41" s="2458"/>
      <c r="D41" s="1270"/>
    </row>
    <row r="42" spans="1:4" x14ac:dyDescent="0.2">
      <c r="A42" s="2458"/>
      <c r="B42" s="2458"/>
      <c r="D42" s="1270"/>
    </row>
    <row r="43" spans="1:4" x14ac:dyDescent="0.2">
      <c r="A43" s="2458"/>
      <c r="B43" s="2458"/>
      <c r="D43" s="1270"/>
    </row>
    <row r="44" spans="1:4" x14ac:dyDescent="0.2">
      <c r="A44" s="2458"/>
      <c r="B44" s="2458"/>
      <c r="D44" s="1270"/>
    </row>
    <row r="45" spans="1:4" x14ac:dyDescent="0.2">
      <c r="A45" s="2458"/>
      <c r="B45" s="2458"/>
      <c r="D45" s="1270"/>
    </row>
    <row r="47" spans="1:4" x14ac:dyDescent="0.2">
      <c r="B47" s="1271" t="s">
        <v>1289</v>
      </c>
      <c r="C47" s="1271"/>
      <c r="D47" s="1272">
        <f>SUM(D35:D45)</f>
        <v>0</v>
      </c>
    </row>
    <row r="49" spans="2:4" x14ac:dyDescent="0.2">
      <c r="B49" s="1271" t="s">
        <v>1288</v>
      </c>
      <c r="C49" s="1271"/>
      <c r="D49" s="1272">
        <f>D32-D47</f>
        <v>330482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Warren CUSD 205</v>
      </c>
      <c r="B1" s="2464"/>
      <c r="C1" s="2464"/>
      <c r="D1" s="2464"/>
      <c r="E1" s="2464"/>
      <c r="F1" s="2464"/>
    </row>
    <row r="2" spans="1:7" ht="13.5" customHeight="1" x14ac:dyDescent="0.2">
      <c r="A2" s="2465">
        <f>'Single Audit Cover'!E7</f>
        <v>8043205026</v>
      </c>
      <c r="B2" s="2465"/>
      <c r="C2" s="2465"/>
      <c r="D2" s="2465"/>
      <c r="E2" s="2465"/>
      <c r="F2" s="2465"/>
      <c r="G2" s="1274"/>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5" t="s">
        <v>1831</v>
      </c>
      <c r="C6" s="317"/>
      <c r="D6" s="317"/>
    </row>
    <row r="7" spans="1:7" ht="60.95" customHeight="1" x14ac:dyDescent="0.2">
      <c r="A7" s="2463" t="s">
        <v>1832</v>
      </c>
      <c r="B7" s="2463"/>
      <c r="C7" s="2463"/>
      <c r="D7" s="2463"/>
      <c r="E7" s="2463"/>
      <c r="F7" s="2463"/>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3" t="s">
        <v>1834</v>
      </c>
      <c r="B13" s="2463"/>
      <c r="C13" s="2463"/>
      <c r="D13" s="2463"/>
      <c r="E13" s="2463"/>
      <c r="F13" s="2463"/>
    </row>
    <row r="14" spans="1:7" ht="9.75" customHeight="1" x14ac:dyDescent="0.2">
      <c r="C14" s="1259"/>
      <c r="D14" s="1259"/>
    </row>
    <row r="15" spans="1:7" ht="13.5" customHeight="1" x14ac:dyDescent="0.2">
      <c r="C15" s="1870" t="s">
        <v>1332</v>
      </c>
      <c r="D15" s="2469" t="s">
        <v>1331</v>
      </c>
      <c r="E15" s="2469"/>
      <c r="F15" s="2469"/>
    </row>
    <row r="16" spans="1:7" ht="13.5" customHeight="1" x14ac:dyDescent="0.2">
      <c r="A16" s="1281"/>
      <c r="B16" s="1275" t="s">
        <v>1330</v>
      </c>
      <c r="C16" s="1870" t="s">
        <v>1329</v>
      </c>
      <c r="D16" s="2470" t="s">
        <v>1670</v>
      </c>
      <c r="E16" s="2470"/>
      <c r="F16" s="2470"/>
    </row>
    <row r="17" spans="1:6" ht="20.45" customHeight="1" x14ac:dyDescent="0.2">
      <c r="A17" s="1282"/>
      <c r="B17" s="1283"/>
      <c r="C17" s="1284"/>
      <c r="D17" s="2468"/>
      <c r="E17" s="2468"/>
      <c r="F17" s="2468"/>
    </row>
    <row r="18" spans="1:6" ht="20.65" customHeight="1" x14ac:dyDescent="0.2">
      <c r="A18" s="1282"/>
      <c r="B18" s="1283"/>
      <c r="C18" s="1284"/>
      <c r="D18" s="2468"/>
      <c r="E18" s="2468"/>
      <c r="F18" s="2468"/>
    </row>
    <row r="19" spans="1:6" ht="20.65" customHeight="1" x14ac:dyDescent="0.2">
      <c r="A19" s="1282"/>
      <c r="B19" s="1283"/>
      <c r="C19" s="1284"/>
      <c r="D19" s="2468"/>
      <c r="E19" s="2468"/>
      <c r="F19" s="2468"/>
    </row>
    <row r="20" spans="1:6" ht="20.65" customHeight="1" x14ac:dyDescent="0.2">
      <c r="A20" s="1282"/>
      <c r="B20" s="1283"/>
      <c r="C20" s="1284"/>
      <c r="D20" s="2468"/>
      <c r="E20" s="2468"/>
      <c r="F20" s="2468"/>
    </row>
    <row r="21" spans="1:6" ht="20.65" customHeight="1" x14ac:dyDescent="0.2">
      <c r="A21" s="1282"/>
      <c r="B21" s="1283"/>
      <c r="C21" s="1284"/>
      <c r="D21" s="2468"/>
      <c r="E21" s="2468"/>
      <c r="F21" s="2468"/>
    </row>
    <row r="22" spans="1:6" ht="20.65" customHeight="1" x14ac:dyDescent="0.2">
      <c r="A22" s="1282"/>
      <c r="B22" s="1283"/>
      <c r="C22" s="1284"/>
      <c r="D22" s="2468"/>
      <c r="E22" s="2468"/>
      <c r="F22" s="2468"/>
    </row>
    <row r="23" spans="1:6" ht="20.65" customHeight="1" x14ac:dyDescent="0.2">
      <c r="A23" s="1282"/>
      <c r="B23" s="1283"/>
      <c r="C23" s="1284"/>
      <c r="D23" s="2468"/>
      <c r="E23" s="2468"/>
      <c r="F23" s="2468"/>
    </row>
    <row r="24" spans="1:6" ht="20.65" customHeight="1" x14ac:dyDescent="0.2">
      <c r="A24" s="1282"/>
      <c r="B24" s="1283"/>
      <c r="C24" s="1284"/>
      <c r="D24" s="2468"/>
      <c r="E24" s="2468"/>
      <c r="F24" s="2468"/>
    </row>
    <row r="25" spans="1:6" ht="20.65" customHeight="1" x14ac:dyDescent="0.2">
      <c r="A25" s="1282"/>
      <c r="B25" s="1283"/>
      <c r="C25" s="1284"/>
      <c r="D25" s="2468"/>
      <c r="E25" s="2468"/>
      <c r="F25" s="2468"/>
    </row>
    <row r="26" spans="1:6" ht="20.65" customHeight="1" x14ac:dyDescent="0.2">
      <c r="A26" s="1282"/>
      <c r="B26" s="1283"/>
      <c r="C26" s="1284"/>
      <c r="D26" s="2468"/>
      <c r="E26" s="2468"/>
      <c r="F26" s="2468"/>
    </row>
    <row r="27" spans="1:6" ht="20.65" customHeight="1" x14ac:dyDescent="0.2">
      <c r="A27" s="1282"/>
      <c r="B27" s="1283"/>
      <c r="C27" s="1284"/>
      <c r="D27" s="2468"/>
      <c r="E27" s="2468"/>
      <c r="F27" s="2468"/>
    </row>
    <row r="28" spans="1:6" ht="20.65" customHeight="1" x14ac:dyDescent="0.2">
      <c r="A28" s="1282"/>
      <c r="B28" s="1283"/>
      <c r="C28" s="1284"/>
      <c r="D28" s="2468"/>
      <c r="E28" s="2468"/>
      <c r="F28" s="2468"/>
    </row>
    <row r="29" spans="1:6" ht="20.65" customHeight="1" x14ac:dyDescent="0.2">
      <c r="A29" s="1282"/>
      <c r="B29" s="1283"/>
      <c r="C29" s="1284"/>
      <c r="D29" s="2468"/>
      <c r="E29" s="2468"/>
      <c r="F29" s="2468"/>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72" t="s">
        <v>1835</v>
      </c>
      <c r="B32" s="2472"/>
      <c r="C32" s="2472"/>
      <c r="D32" s="2472"/>
      <c r="E32" s="2472"/>
      <c r="F32" s="2472"/>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73">
        <f>+C33+C34</f>
        <v>0</v>
      </c>
      <c r="F34" s="2474"/>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5" t="s">
        <v>1672</v>
      </c>
      <c r="C49" s="2475"/>
      <c r="D49" s="2475"/>
      <c r="E49" s="1398"/>
    </row>
    <row r="50" spans="1:5" s="1299" customFormat="1" ht="3.75" customHeight="1" x14ac:dyDescent="0.2">
      <c r="A50" s="1298"/>
      <c r="B50" s="1869"/>
      <c r="C50" s="1869"/>
      <c r="D50" s="1869"/>
      <c r="E50" s="1398"/>
    </row>
    <row r="51" spans="1:5" s="1299" customFormat="1" ht="20.25" customHeight="1" x14ac:dyDescent="0.2">
      <c r="A51" s="1300">
        <v>6</v>
      </c>
      <c r="B51" s="2471" t="s">
        <v>1632</v>
      </c>
      <c r="C51" s="2471"/>
      <c r="D51" s="2471"/>
    </row>
    <row r="52" spans="1:5" ht="14.25" customHeight="1" x14ac:dyDescent="0.2">
      <c r="A52" s="1300"/>
      <c r="B52" s="2471"/>
      <c r="C52" s="2471"/>
      <c r="D52" s="24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0" t="str">
        <f>'Single Audit Cover'!A7</f>
        <v>Warren CUSD 205</v>
      </c>
      <c r="C1" s="2476"/>
      <c r="D1" s="2476"/>
      <c r="E1" s="2476"/>
      <c r="F1" s="2476"/>
      <c r="G1" s="2476"/>
      <c r="H1" s="2476"/>
      <c r="I1" s="2476"/>
      <c r="J1" s="2476"/>
      <c r="K1" s="2476"/>
      <c r="L1" s="2476"/>
      <c r="M1" s="2476"/>
    </row>
    <row r="2" spans="2:14" ht="15" x14ac:dyDescent="0.2">
      <c r="B2" s="2465">
        <f>'Single Audit Cover'!E7</f>
        <v>8043205026</v>
      </c>
      <c r="C2" s="2465"/>
      <c r="D2" s="2465"/>
      <c r="E2" s="2465"/>
      <c r="F2" s="2465"/>
      <c r="G2" s="2465"/>
      <c r="H2" s="2465"/>
      <c r="I2" s="2465"/>
      <c r="J2" s="2465"/>
      <c r="K2" s="2465"/>
      <c r="L2" s="2465"/>
      <c r="M2" s="2465"/>
      <c r="N2" s="1301"/>
    </row>
    <row r="3" spans="2:14" ht="15" x14ac:dyDescent="0.2">
      <c r="B3" s="2477" t="s">
        <v>1281</v>
      </c>
      <c r="C3" s="2477"/>
      <c r="D3" s="2477"/>
      <c r="E3" s="2477"/>
      <c r="F3" s="2477"/>
      <c r="G3" s="2477"/>
      <c r="H3" s="2477"/>
      <c r="I3" s="2477"/>
      <c r="J3" s="2477"/>
      <c r="K3" s="2477"/>
      <c r="L3" s="2477"/>
      <c r="M3" s="2477"/>
      <c r="N3" s="1301"/>
    </row>
    <row r="4" spans="2:14" ht="15" x14ac:dyDescent="0.2">
      <c r="B4" s="2478" t="str">
        <f>'Single Audit Cover'!A4</f>
        <v>Year Ending June 30, 2018</v>
      </c>
      <c r="C4" s="2478"/>
      <c r="D4" s="2478"/>
      <c r="E4" s="2478"/>
      <c r="F4" s="2478"/>
      <c r="G4" s="2478"/>
      <c r="H4" s="2478"/>
      <c r="I4" s="2478"/>
      <c r="J4" s="2478"/>
      <c r="K4" s="2478"/>
      <c r="L4" s="2478"/>
      <c r="M4" s="2478"/>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2089</v>
      </c>
      <c r="C9" s="179">
        <v>1</v>
      </c>
      <c r="D9" s="221" t="s">
        <v>1639</v>
      </c>
    </row>
    <row r="10" spans="1:11" s="181" customFormat="1" x14ac:dyDescent="0.2">
      <c r="A10" s="222"/>
      <c r="B10" s="223"/>
      <c r="C10" s="224"/>
      <c r="D10" s="225" t="s">
        <v>1722</v>
      </c>
    </row>
    <row r="11" spans="1:11" s="181" customFormat="1" x14ac:dyDescent="0.2">
      <c r="A11" s="219"/>
      <c r="B11" s="226" t="s">
        <v>2089</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2089</v>
      </c>
      <c r="C53" s="179">
        <v>22</v>
      </c>
      <c r="D53" s="247" t="s">
        <v>1537</v>
      </c>
      <c r="E53" s="248"/>
      <c r="F53" s="249"/>
      <c r="G53" s="249" t="s">
        <v>1536</v>
      </c>
      <c r="H53" s="250">
        <v>35738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2077</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Warren CUSD 205</v>
      </c>
      <c r="C1" s="2484"/>
      <c r="D1" s="2484"/>
      <c r="E1" s="2484"/>
      <c r="F1" s="2484"/>
      <c r="G1" s="2484"/>
      <c r="H1" s="2484"/>
      <c r="I1" s="2484"/>
      <c r="J1" s="1421"/>
    </row>
    <row r="2" spans="2:10" s="317" customFormat="1" ht="12.75" customHeight="1" x14ac:dyDescent="0.2">
      <c r="B2" s="2485">
        <f>'Single Audit Cover'!E7</f>
        <v>8043205026</v>
      </c>
      <c r="C2" s="2486"/>
      <c r="D2" s="2486"/>
      <c r="E2" s="2486"/>
      <c r="F2" s="2486"/>
      <c r="G2" s="2486"/>
      <c r="H2" s="2486"/>
      <c r="I2" s="2486"/>
      <c r="J2" s="1421"/>
    </row>
    <row r="3" spans="2:10" s="317" customFormat="1" ht="12.75" customHeight="1" x14ac:dyDescent="0.2">
      <c r="B3" s="2487" t="s">
        <v>1347</v>
      </c>
      <c r="C3" s="2488"/>
      <c r="D3" s="2488"/>
      <c r="E3" s="2488"/>
      <c r="F3" s="2488"/>
      <c r="G3" s="2488"/>
      <c r="H3" s="2488"/>
      <c r="I3" s="2488"/>
      <c r="J3" s="1422"/>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7" t="s">
        <v>1346</v>
      </c>
      <c r="C7" s="2488"/>
      <c r="D7" s="2488"/>
      <c r="E7" s="2488"/>
      <c r="F7" s="2488"/>
      <c r="G7" s="2488"/>
      <c r="H7" s="2488"/>
      <c r="I7" s="2488"/>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9"/>
      <c r="D11" s="2489"/>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0"/>
      <c r="E29" s="2490"/>
      <c r="F29" s="2490"/>
      <c r="G29" s="2490"/>
      <c r="H29" s="2490"/>
      <c r="I29" s="2490"/>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1" t="s">
        <v>1854</v>
      </c>
      <c r="D37" s="2492"/>
      <c r="E37" s="2492"/>
      <c r="F37" s="2493"/>
      <c r="G37" s="2491" t="s">
        <v>1674</v>
      </c>
      <c r="H37" s="2492"/>
      <c r="I37" s="2493"/>
    </row>
    <row r="38" spans="2:9" ht="16.5" customHeight="1" x14ac:dyDescent="0.2">
      <c r="B38" s="1443"/>
      <c r="C38" s="2479"/>
      <c r="D38" s="2480"/>
      <c r="E38" s="2480"/>
      <c r="F38" s="2481"/>
      <c r="G38" s="2494"/>
      <c r="H38" s="2495"/>
      <c r="I38" s="2496"/>
    </row>
    <row r="39" spans="2:9" ht="16.5" customHeight="1" x14ac:dyDescent="0.2">
      <c r="B39" s="1443"/>
      <c r="C39" s="2479"/>
      <c r="D39" s="2480"/>
      <c r="E39" s="2480"/>
      <c r="F39" s="2481"/>
      <c r="G39" s="2482"/>
      <c r="H39" s="2482"/>
      <c r="I39" s="2482"/>
    </row>
    <row r="40" spans="2:9" ht="16.5" customHeight="1" x14ac:dyDescent="0.2">
      <c r="B40" s="1443"/>
      <c r="C40" s="2479"/>
      <c r="D40" s="2480"/>
      <c r="E40" s="2480"/>
      <c r="F40" s="2481"/>
      <c r="G40" s="2482"/>
      <c r="H40" s="2482"/>
      <c r="I40" s="2482"/>
    </row>
    <row r="41" spans="2:9" ht="16.5" customHeight="1" x14ac:dyDescent="0.2">
      <c r="B41" s="1443"/>
      <c r="C41" s="2479"/>
      <c r="D41" s="2480"/>
      <c r="E41" s="2480"/>
      <c r="F41" s="2481"/>
      <c r="G41" s="2482"/>
      <c r="H41" s="2482"/>
      <c r="I41" s="2482"/>
    </row>
    <row r="42" spans="2:9" ht="16.5" customHeight="1" x14ac:dyDescent="0.2">
      <c r="B42" s="1443"/>
      <c r="C42" s="2479"/>
      <c r="D42" s="2480"/>
      <c r="E42" s="2480"/>
      <c r="F42" s="2481"/>
      <c r="G42" s="2482"/>
      <c r="H42" s="2482"/>
      <c r="I42" s="2482"/>
    </row>
    <row r="43" spans="2:9" ht="16.5" customHeight="1" x14ac:dyDescent="0.2">
      <c r="B43" s="1443"/>
      <c r="C43" s="2497" t="s">
        <v>1675</v>
      </c>
      <c r="D43" s="2498"/>
      <c r="E43" s="2498"/>
      <c r="F43" s="2499"/>
      <c r="G43" s="2500">
        <f>SUM(G38:I42)</f>
        <v>0</v>
      </c>
      <c r="H43" s="2500"/>
      <c r="I43" s="2500"/>
    </row>
    <row r="44" spans="2:9" ht="12.75" customHeight="1" x14ac:dyDescent="0.2"/>
    <row r="45" spans="2:9" ht="12.75" customHeight="1" x14ac:dyDescent="0.2">
      <c r="B45" s="1434" t="s">
        <v>1952</v>
      </c>
      <c r="D45" s="2501">
        <v>0</v>
      </c>
      <c r="E45" s="2502"/>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3"/>
      <c r="F49" s="2503"/>
      <c r="G49" s="2503"/>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Warren CUSD 205</v>
      </c>
      <c r="C1" s="2483"/>
      <c r="D1" s="2483"/>
      <c r="E1" s="2483"/>
      <c r="F1" s="2483"/>
      <c r="G1" s="2483"/>
      <c r="H1" s="2483"/>
      <c r="I1" s="2483"/>
      <c r="J1" s="2483"/>
      <c r="K1" s="2483"/>
      <c r="L1" s="1373"/>
      <c r="M1" s="1373"/>
    </row>
    <row r="2" spans="1:13" ht="12" customHeight="1" x14ac:dyDescent="0.2">
      <c r="B2" s="2485">
        <f>'Single Audit Cover'!E7</f>
        <v>8043205026</v>
      </c>
      <c r="C2" s="2485"/>
      <c r="D2" s="2485"/>
      <c r="E2" s="2485"/>
      <c r="F2" s="2485"/>
      <c r="G2" s="2485"/>
      <c r="H2" s="2485"/>
      <c r="I2" s="2485"/>
      <c r="J2" s="2485"/>
      <c r="K2" s="2485"/>
      <c r="L2" s="1374"/>
      <c r="M2" s="1375"/>
    </row>
    <row r="3" spans="1:13" ht="10.35" customHeight="1" x14ac:dyDescent="0.2">
      <c r="B3" s="2506" t="s">
        <v>1347</v>
      </c>
      <c r="C3" s="2506"/>
      <c r="D3" s="2506"/>
      <c r="E3" s="2506"/>
      <c r="F3" s="2506"/>
      <c r="G3" s="2506"/>
      <c r="H3" s="2506"/>
      <c r="I3" s="2506"/>
      <c r="J3" s="2506"/>
      <c r="K3" s="2506"/>
      <c r="L3" s="1376"/>
      <c r="M3" s="1376"/>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7" t="s">
        <v>1363</v>
      </c>
      <c r="C7" s="2507"/>
      <c r="D7" s="2508"/>
      <c r="E7" s="2508"/>
      <c r="F7" s="2508"/>
      <c r="G7" s="2508"/>
      <c r="H7" s="2508"/>
      <c r="I7" s="2508"/>
      <c r="J7" s="2508"/>
      <c r="K7" s="2508"/>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5"/>
      <c r="C14" s="2505"/>
      <c r="D14" s="2505"/>
      <c r="E14" s="2505"/>
      <c r="F14" s="2505"/>
      <c r="G14" s="2505"/>
      <c r="H14" s="2505"/>
      <c r="I14" s="2505"/>
      <c r="J14" s="2505"/>
      <c r="K14" s="2505"/>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5"/>
      <c r="C17" s="2505"/>
      <c r="D17" s="2505"/>
      <c r="E17" s="2505"/>
      <c r="F17" s="2505"/>
      <c r="G17" s="2505"/>
      <c r="H17" s="2505"/>
      <c r="I17" s="2505"/>
      <c r="J17" s="2505"/>
      <c r="K17" s="2505"/>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9"/>
      <c r="C20" s="2509"/>
      <c r="D20" s="2505"/>
      <c r="E20" s="2505"/>
      <c r="F20" s="2505"/>
      <c r="G20" s="2505"/>
      <c r="H20" s="2505"/>
      <c r="I20" s="2505"/>
      <c r="J20" s="2505"/>
      <c r="K20" s="2505"/>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5"/>
      <c r="C23" s="2505"/>
      <c r="D23" s="2505"/>
      <c r="E23" s="2505"/>
      <c r="F23" s="2505"/>
      <c r="G23" s="2505"/>
      <c r="H23" s="2505"/>
      <c r="I23" s="2505"/>
      <c r="J23" s="2505"/>
      <c r="K23" s="2505"/>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5"/>
      <c r="C26" s="2505"/>
      <c r="D26" s="2505"/>
      <c r="E26" s="2505"/>
      <c r="F26" s="2505"/>
      <c r="G26" s="2505"/>
      <c r="H26" s="2505"/>
      <c r="I26" s="2505"/>
      <c r="J26" s="2505"/>
      <c r="K26" s="2505"/>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4"/>
      <c r="C29" s="2504"/>
      <c r="D29" s="2505"/>
      <c r="E29" s="2505"/>
      <c r="F29" s="2505"/>
      <c r="G29" s="2505"/>
      <c r="H29" s="2505"/>
      <c r="I29" s="2505"/>
      <c r="J29" s="2505"/>
      <c r="K29" s="2505"/>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4"/>
      <c r="C32" s="2504"/>
      <c r="D32" s="2505"/>
      <c r="E32" s="2505"/>
      <c r="F32" s="2505"/>
      <c r="G32" s="2505"/>
      <c r="H32" s="2505"/>
      <c r="I32" s="2505"/>
      <c r="J32" s="2505"/>
      <c r="K32" s="2505"/>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J19" sqref="J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Warren CUSD 205</v>
      </c>
      <c r="C1" s="2510"/>
      <c r="D1" s="2510"/>
      <c r="E1" s="2510"/>
      <c r="F1" s="2510"/>
      <c r="G1" s="2510"/>
      <c r="H1" s="2510"/>
      <c r="I1" s="2510"/>
      <c r="J1" s="2510"/>
      <c r="K1" s="2510"/>
      <c r="L1" s="1464"/>
    </row>
    <row r="2" spans="1:12" ht="12.75" customHeight="1" x14ac:dyDescent="0.2">
      <c r="B2" s="2511">
        <f>'Single Audit Cover'!E7</f>
        <v>8043205026</v>
      </c>
      <c r="C2" s="2511"/>
      <c r="D2" s="2511"/>
      <c r="E2" s="2511"/>
      <c r="F2" s="2511"/>
      <c r="G2" s="2511"/>
      <c r="H2" s="2511"/>
      <c r="I2" s="2511"/>
      <c r="J2" s="2511"/>
      <c r="K2" s="2511"/>
      <c r="L2" s="1465"/>
    </row>
    <row r="3" spans="1:12" ht="12.75" customHeight="1" x14ac:dyDescent="0.2">
      <c r="B3" s="2506" t="s">
        <v>1347</v>
      </c>
      <c r="C3" s="2506"/>
      <c r="D3" s="2506"/>
      <c r="E3" s="2506"/>
      <c r="F3" s="2506"/>
      <c r="G3" s="2506"/>
      <c r="H3" s="2506"/>
      <c r="I3" s="2506"/>
      <c r="J3" s="2506"/>
      <c r="K3" s="2506"/>
      <c r="L3" s="1376"/>
    </row>
    <row r="4" spans="1:12" ht="12.75" customHeight="1" x14ac:dyDescent="0.2">
      <c r="B4" s="2506" t="str">
        <f>'Single Audit Cover'!A4</f>
        <v>Year Ending June 30, 2018</v>
      </c>
      <c r="C4" s="2506"/>
      <c r="D4" s="2506"/>
      <c r="E4" s="2506"/>
      <c r="F4" s="2506"/>
      <c r="G4" s="2506"/>
      <c r="H4" s="2506"/>
      <c r="I4" s="2506"/>
      <c r="J4" s="2506"/>
      <c r="K4" s="2506"/>
      <c r="L4" s="1376"/>
    </row>
    <row r="5" spans="1:12" ht="5.25" customHeight="1" x14ac:dyDescent="0.2">
      <c r="B5" s="1259" t="s">
        <v>1231</v>
      </c>
      <c r="C5" s="1259"/>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0"/>
      <c r="G12" s="2490"/>
      <c r="H12" s="2490"/>
      <c r="I12" s="2490"/>
      <c r="J12" s="2490"/>
      <c r="K12" s="2490"/>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3"/>
      <c r="E14" s="2513"/>
      <c r="F14" s="2513"/>
      <c r="H14" s="1474" t="s">
        <v>1370</v>
      </c>
      <c r="I14" s="2514"/>
      <c r="J14" s="2514"/>
      <c r="K14" s="2514"/>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4"/>
      <c r="E16" s="2514"/>
      <c r="F16" s="2514"/>
      <c r="G16" s="2514"/>
      <c r="H16" s="2514"/>
      <c r="I16" s="2514"/>
      <c r="J16" s="2514"/>
      <c r="K16" s="2514"/>
      <c r="L16" s="322"/>
    </row>
    <row r="17" spans="2:12" ht="13.5" customHeight="1" x14ac:dyDescent="0.2">
      <c r="B17" s="1386" t="s">
        <v>1368</v>
      </c>
      <c r="C17" s="1386"/>
      <c r="D17" s="2515"/>
      <c r="E17" s="2515"/>
      <c r="F17" s="2515"/>
      <c r="G17" s="2515"/>
      <c r="H17" s="2515"/>
      <c r="I17" s="2515"/>
      <c r="J17" s="2515"/>
      <c r="K17" s="2515"/>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5"/>
      <c r="C20" s="2505"/>
      <c r="D20" s="2505"/>
      <c r="E20" s="2505"/>
      <c r="F20" s="2505"/>
      <c r="G20" s="2505"/>
      <c r="H20" s="2505"/>
      <c r="I20" s="2505"/>
      <c r="J20" s="2505"/>
      <c r="K20" s="2505"/>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3" t="str">
        <f>'Single Audit Cover'!A7</f>
        <v>Warren CUSD 205</v>
      </c>
      <c r="C1" s="2483"/>
      <c r="D1" s="2483"/>
      <c r="E1" s="1490"/>
    </row>
    <row r="2" spans="2:5" s="1281" customFormat="1" ht="12.75" customHeight="1" x14ac:dyDescent="0.2">
      <c r="B2" s="2485">
        <f>'Single Audit Cover'!E7</f>
        <v>8043205026</v>
      </c>
      <c r="C2" s="2485"/>
      <c r="D2" s="2485"/>
      <c r="E2" s="1491"/>
    </row>
    <row r="3" spans="2:5" ht="12.75" customHeight="1" x14ac:dyDescent="0.2">
      <c r="B3" s="2506" t="s">
        <v>1869</v>
      </c>
      <c r="C3" s="2506"/>
      <c r="D3" s="2506"/>
      <c r="E3" s="1273"/>
    </row>
    <row r="4" spans="2:5" s="1281" customFormat="1" ht="12.75" customHeight="1" x14ac:dyDescent="0.2">
      <c r="B4" s="2516" t="str">
        <f>'Single Audit Cover'!A4</f>
        <v>Year Ending June 30, 2018</v>
      </c>
      <c r="C4" s="2516"/>
      <c r="D4" s="2516"/>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65441305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3.4839099999999998E-2</v>
      </c>
      <c r="E10" s="356" t="s">
        <v>1062</v>
      </c>
      <c r="F10" s="355">
        <v>6.5931999999999996E-3</v>
      </c>
      <c r="G10" s="356" t="s">
        <v>1062</v>
      </c>
      <c r="H10" s="355">
        <v>3.8606000000000001E-3</v>
      </c>
      <c r="I10" s="356" t="s">
        <v>1063</v>
      </c>
      <c r="J10" s="1753">
        <f>ROUND(D10+F10+H10,5)</f>
        <v>4.5289999999999997E-2</v>
      </c>
      <c r="K10" s="222"/>
      <c r="L10" s="355">
        <v>4.2910000000000002E-4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5034130</v>
      </c>
      <c r="E16" s="356"/>
      <c r="F16" s="1754">
        <f>SUM('Acct Summary 7-8'!C17,'Acct Summary 7-8'!D17,'Acct Summary 7-8'!F17)</f>
        <v>4569212</v>
      </c>
      <c r="G16" s="356"/>
      <c r="H16" s="1754">
        <f>SUM(D16-F16)</f>
        <v>464918</v>
      </c>
      <c r="I16" s="222"/>
      <c r="J16" s="1754">
        <f>SUM('Acct Summary 7-8'!C81,'Acct Summary 7-8'!D81,'Acct Summary 7-8'!F81,'Acct Summary 7-8'!I81)</f>
        <v>4906917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9030900.0899999999</v>
      </c>
      <c r="I31" s="368"/>
      <c r="J31" s="222"/>
      <c r="K31" s="222"/>
      <c r="L31" s="222"/>
      <c r="M31" s="222"/>
    </row>
    <row r="32" spans="1:13" ht="13.35" customHeight="1" x14ac:dyDescent="0.2">
      <c r="B32" s="369" t="s">
        <v>2089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1809785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I18" sqref="I18:S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Warren CUSD 205</v>
      </c>
      <c r="E7" s="391"/>
      <c r="G7" s="252"/>
      <c r="H7" s="387"/>
      <c r="I7" s="387"/>
      <c r="J7" s="387"/>
      <c r="K7" s="387"/>
      <c r="L7" s="329"/>
      <c r="M7" s="329"/>
      <c r="N7" s="329"/>
      <c r="O7" s="329"/>
      <c r="P7" s="329"/>
    </row>
    <row r="8" spans="1:18" ht="12.75" x14ac:dyDescent="0.2">
      <c r="A8" s="329"/>
      <c r="B8" s="329"/>
      <c r="C8" s="389" t="s">
        <v>1187</v>
      </c>
      <c r="D8" s="392">
        <f>COVER!A13</f>
        <v>8043205026</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4906917</v>
      </c>
      <c r="I12" s="404"/>
      <c r="J12" s="404"/>
      <c r="K12" s="405">
        <f>TRUNC((H12/H13*100000),5)/100000</f>
        <v>0.97948652629999999</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5009683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-24447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4569212</v>
      </c>
      <c r="I17" s="404"/>
      <c r="J17" s="416"/>
      <c r="K17" s="405">
        <f>TRUNC((H17/H18*100000),5)/100000</f>
        <v>0.91207607340000008</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5009683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-24447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4907068</v>
      </c>
      <c r="I24" s="422"/>
      <c r="J24" s="422"/>
      <c r="K24" s="423">
        <f>TRUNC(((H24/H25*100000)/100000),2)</f>
        <v>386.61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12692.25556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2519261.1979299998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1809785</v>
      </c>
      <c r="I32" s="420"/>
      <c r="J32" s="420"/>
      <c r="K32" s="423">
        <f>TRUNC(100-((((H32/H33*100))*100)/100),2)</f>
        <v>79.959999999999994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9030900.0899999999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0" zoomScaleNormal="90" workbookViewId="0">
      <pane ySplit="2" topLeftCell="A21" activePane="bottomLeft" state="frozen"/>
      <selection activeCell="I18" sqref="I18:S18"/>
      <selection pane="bottomLeft" activeCell="I18" sqref="I18:S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0"/>
      <c r="D3" s="1581"/>
      <c r="E3" s="1581"/>
      <c r="F3" s="1581"/>
      <c r="G3" s="1581"/>
      <c r="H3" s="1581"/>
      <c r="I3" s="1581"/>
      <c r="J3" s="1581"/>
      <c r="K3" s="1581"/>
      <c r="L3" s="1581"/>
      <c r="M3" s="1582"/>
      <c r="N3" s="1583"/>
    </row>
    <row r="4" spans="1:14" ht="13.5" customHeight="1" x14ac:dyDescent="0.2">
      <c r="A4" s="463" t="s">
        <v>1750</v>
      </c>
      <c r="B4" s="464"/>
      <c r="C4" s="465">
        <v>3397757</v>
      </c>
      <c r="D4" s="466">
        <v>825100</v>
      </c>
      <c r="E4" s="466">
        <v>157974</v>
      </c>
      <c r="F4" s="466">
        <v>684211</v>
      </c>
      <c r="G4" s="466">
        <v>156857</v>
      </c>
      <c r="H4" s="466">
        <v>267922</v>
      </c>
      <c r="I4" s="466"/>
      <c r="J4" s="467"/>
      <c r="K4" s="466">
        <v>101131</v>
      </c>
      <c r="L4" s="466">
        <v>101042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3397757</v>
      </c>
      <c r="D13" s="1758">
        <f t="shared" ref="D13:L13" si="0">SUM(D4:D12)</f>
        <v>825100</v>
      </c>
      <c r="E13" s="1758">
        <f t="shared" si="0"/>
        <v>157974</v>
      </c>
      <c r="F13" s="1758">
        <f t="shared" si="0"/>
        <v>684211</v>
      </c>
      <c r="G13" s="1758">
        <f t="shared" si="0"/>
        <v>156857</v>
      </c>
      <c r="H13" s="1758">
        <f t="shared" si="0"/>
        <v>267922</v>
      </c>
      <c r="I13" s="1758">
        <f t="shared" si="0"/>
        <v>0</v>
      </c>
      <c r="J13" s="1758">
        <f t="shared" si="0"/>
        <v>0</v>
      </c>
      <c r="K13" s="1758">
        <f t="shared" si="0"/>
        <v>101131</v>
      </c>
      <c r="L13" s="1758">
        <f t="shared" si="0"/>
        <v>101042</v>
      </c>
      <c r="M13" s="468"/>
      <c r="N13" s="469"/>
    </row>
    <row r="14" spans="1:14" ht="18" customHeight="1" thickTop="1" x14ac:dyDescent="0.2">
      <c r="A14" s="2139" t="s">
        <v>149</v>
      </c>
      <c r="B14" s="2140"/>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201300</v>
      </c>
      <c r="N16" s="484"/>
    </row>
    <row r="17" spans="1:14" s="485" customFormat="1" ht="12.75" customHeight="1" x14ac:dyDescent="0.2">
      <c r="A17" s="482" t="s">
        <v>1470</v>
      </c>
      <c r="B17" s="483">
        <v>230</v>
      </c>
      <c r="C17" s="477"/>
      <c r="D17" s="477"/>
      <c r="E17" s="477"/>
      <c r="F17" s="477"/>
      <c r="G17" s="477"/>
      <c r="H17" s="477"/>
      <c r="I17" s="477"/>
      <c r="J17" s="477"/>
      <c r="K17" s="477"/>
      <c r="L17" s="477"/>
      <c r="M17" s="467">
        <v>13183673</v>
      </c>
      <c r="N17" s="484"/>
    </row>
    <row r="18" spans="1:14" s="485" customFormat="1" ht="12.75" customHeight="1" x14ac:dyDescent="0.2">
      <c r="A18" s="482" t="s">
        <v>1471</v>
      </c>
      <c r="B18" s="483">
        <v>240</v>
      </c>
      <c r="C18" s="477"/>
      <c r="D18" s="477"/>
      <c r="E18" s="477"/>
      <c r="F18" s="477"/>
      <c r="G18" s="477"/>
      <c r="H18" s="477"/>
      <c r="I18" s="477"/>
      <c r="J18" s="477"/>
      <c r="K18" s="477"/>
      <c r="L18" s="477"/>
      <c r="M18" s="467">
        <v>652200</v>
      </c>
      <c r="N18" s="484"/>
    </row>
    <row r="19" spans="1:14" s="485" customFormat="1" ht="12.75" customHeight="1" x14ac:dyDescent="0.2">
      <c r="A19" s="482" t="s">
        <v>1472</v>
      </c>
      <c r="B19" s="483">
        <v>250</v>
      </c>
      <c r="C19" s="477"/>
      <c r="D19" s="477"/>
      <c r="E19" s="477"/>
      <c r="F19" s="477"/>
      <c r="G19" s="477"/>
      <c r="H19" s="477"/>
      <c r="I19" s="477"/>
      <c r="J19" s="477"/>
      <c r="K19" s="477"/>
      <c r="L19" s="477"/>
      <c r="M19" s="467">
        <v>720961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157974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1651811</v>
      </c>
    </row>
    <row r="23" spans="1:14" ht="13.5" customHeight="1" thickBot="1" x14ac:dyDescent="0.25">
      <c r="A23" s="1757" t="s">
        <v>664</v>
      </c>
      <c r="B23" s="1762"/>
      <c r="C23" s="468"/>
      <c r="D23" s="468"/>
      <c r="E23" s="468"/>
      <c r="F23" s="468"/>
      <c r="G23" s="468"/>
      <c r="H23" s="468"/>
      <c r="I23" s="468"/>
      <c r="J23" s="468"/>
      <c r="K23" s="468"/>
      <c r="L23" s="468"/>
      <c r="M23" s="1709">
        <f>SUM(M15:M22)</f>
        <v>14758134</v>
      </c>
      <c r="N23" s="1709">
        <f>SUM(N21:N22)</f>
        <v>1809785</v>
      </c>
    </row>
    <row r="24" spans="1:14" ht="18" customHeight="1" thickTop="1" x14ac:dyDescent="0.2">
      <c r="A24" s="2141" t="s">
        <v>619</v>
      </c>
      <c r="B24" s="2142"/>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91</v>
      </c>
      <c r="D31" s="467">
        <v>60</v>
      </c>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101042</v>
      </c>
      <c r="M33" s="468"/>
      <c r="N33" s="469"/>
    </row>
    <row r="34" spans="1:14" ht="13.5" customHeight="1" thickBot="1" x14ac:dyDescent="0.25">
      <c r="A34" s="1759" t="s">
        <v>675</v>
      </c>
      <c r="B34" s="1760"/>
      <c r="C34" s="1761">
        <f>SUM(C25:C33)</f>
        <v>91</v>
      </c>
      <c r="D34" s="1761">
        <f t="shared" ref="D34:K34" si="1">SUM(D25:D33)</f>
        <v>60</v>
      </c>
      <c r="E34" s="1761">
        <f t="shared" si="1"/>
        <v>0</v>
      </c>
      <c r="F34" s="1761">
        <f t="shared" si="1"/>
        <v>0</v>
      </c>
      <c r="G34" s="1761">
        <f t="shared" si="1"/>
        <v>0</v>
      </c>
      <c r="H34" s="1761">
        <f t="shared" si="1"/>
        <v>0</v>
      </c>
      <c r="I34" s="1761">
        <f t="shared" si="1"/>
        <v>0</v>
      </c>
      <c r="J34" s="1761">
        <f t="shared" si="1"/>
        <v>0</v>
      </c>
      <c r="K34" s="1761">
        <f t="shared" si="1"/>
        <v>0</v>
      </c>
      <c r="L34" s="1742">
        <f>SUM(L33)</f>
        <v>101042</v>
      </c>
      <c r="M34" s="468"/>
      <c r="N34" s="480"/>
    </row>
    <row r="35" spans="1:14" ht="18" customHeight="1" thickTop="1" x14ac:dyDescent="0.2">
      <c r="A35" s="2143" t="s">
        <v>550</v>
      </c>
      <c r="B35" s="2144"/>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1809785</v>
      </c>
    </row>
    <row r="37" spans="1:14" ht="13.5" thickBot="1" x14ac:dyDescent="0.25">
      <c r="A37" s="1757" t="s">
        <v>674</v>
      </c>
      <c r="B37" s="1762"/>
      <c r="C37" s="477"/>
      <c r="D37" s="477"/>
      <c r="E37" s="477"/>
      <c r="F37" s="477"/>
      <c r="G37" s="477"/>
      <c r="H37" s="477"/>
      <c r="I37" s="477"/>
      <c r="J37" s="477"/>
      <c r="K37" s="477"/>
      <c r="L37" s="480"/>
      <c r="M37" s="468"/>
      <c r="N37" s="1709">
        <f>SUM(N36:N36)</f>
        <v>1809785</v>
      </c>
    </row>
    <row r="38" spans="1:14" s="329" customFormat="1" ht="13.5" customHeight="1" thickTop="1" x14ac:dyDescent="0.2">
      <c r="A38" s="496" t="s">
        <v>440</v>
      </c>
      <c r="B38" s="483">
        <v>714</v>
      </c>
      <c r="C38" s="466">
        <v>8432</v>
      </c>
      <c r="D38" s="466"/>
      <c r="E38" s="466"/>
      <c r="F38" s="466"/>
      <c r="G38" s="466">
        <v>81843</v>
      </c>
      <c r="H38" s="466">
        <v>267922</v>
      </c>
      <c r="I38" s="466"/>
      <c r="J38" s="467"/>
      <c r="K38" s="466"/>
      <c r="L38" s="481"/>
      <c r="M38" s="497"/>
      <c r="N38" s="497"/>
    </row>
    <row r="39" spans="1:14" s="329" customFormat="1" ht="13.5" customHeight="1" x14ac:dyDescent="0.2">
      <c r="A39" s="496" t="s">
        <v>360</v>
      </c>
      <c r="B39" s="483">
        <v>730</v>
      </c>
      <c r="C39" s="466">
        <v>3389234</v>
      </c>
      <c r="D39" s="466">
        <v>825040</v>
      </c>
      <c r="E39" s="466">
        <v>157974</v>
      </c>
      <c r="F39" s="466">
        <v>684211</v>
      </c>
      <c r="G39" s="466">
        <v>75014</v>
      </c>
      <c r="H39" s="466"/>
      <c r="I39" s="466">
        <v>0</v>
      </c>
      <c r="J39" s="467">
        <v>0</v>
      </c>
      <c r="K39" s="466">
        <v>101131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14758134</v>
      </c>
      <c r="N40" s="497"/>
    </row>
    <row r="41" spans="1:14" ht="13.5" customHeight="1" thickBot="1" x14ac:dyDescent="0.25">
      <c r="A41" s="1757" t="s">
        <v>676</v>
      </c>
      <c r="B41" s="1727"/>
      <c r="C41" s="1709">
        <f>(SUM(C34,C37,C38,C39))</f>
        <v>3397757</v>
      </c>
      <c r="D41" s="1709">
        <f t="shared" ref="D41:L41" si="2">SUM(D34,D37,D38:D39)</f>
        <v>825100</v>
      </c>
      <c r="E41" s="1709">
        <f t="shared" si="2"/>
        <v>157974</v>
      </c>
      <c r="F41" s="1709">
        <f t="shared" si="2"/>
        <v>684211</v>
      </c>
      <c r="G41" s="1709">
        <f t="shared" si="2"/>
        <v>156857</v>
      </c>
      <c r="H41" s="1709">
        <f t="shared" si="2"/>
        <v>267922</v>
      </c>
      <c r="I41" s="1709">
        <f t="shared" si="2"/>
        <v>0</v>
      </c>
      <c r="J41" s="1709">
        <f t="shared" si="2"/>
        <v>0</v>
      </c>
      <c r="K41" s="1709">
        <f t="shared" si="2"/>
        <v>101131</v>
      </c>
      <c r="L41" s="1709">
        <f t="shared" si="2"/>
        <v>101042</v>
      </c>
      <c r="M41" s="1709">
        <f>SUM(M40)</f>
        <v>14758134</v>
      </c>
      <c r="N41" s="1709">
        <f>SUM(N37)</f>
        <v>1809785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Split"/>
      <selection activeCell="I18" sqref="I18:S18"/>
      <selection pane="bottomLeft" activeCell="I18" sqref="I18:S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4"/>
      <c r="D3" s="1595"/>
      <c r="E3" s="1595"/>
      <c r="F3" s="1595"/>
      <c r="G3" s="1595"/>
      <c r="H3" s="1595"/>
      <c r="I3" s="1595"/>
      <c r="J3" s="1595"/>
      <c r="K3" s="1596"/>
      <c r="L3" s="506"/>
    </row>
    <row r="4" spans="1:13" ht="15.75" customHeight="1" x14ac:dyDescent="0.2">
      <c r="A4" s="1953" t="s">
        <v>1579</v>
      </c>
      <c r="B4" s="1954">
        <v>1000</v>
      </c>
      <c r="C4" s="1763">
        <f>'Revenues 9-14'!C109</f>
        <v>2605925</v>
      </c>
      <c r="D4" s="1763">
        <f>'Revenues 9-14'!D109</f>
        <v>411046</v>
      </c>
      <c r="E4" s="1763">
        <f>'Revenues 9-14'!E109</f>
        <v>592761</v>
      </c>
      <c r="F4" s="1763">
        <f>'Revenues 9-14'!F109</f>
        <v>268319</v>
      </c>
      <c r="G4" s="1763">
        <f>'Revenues 9-14'!G109</f>
        <v>143696</v>
      </c>
      <c r="H4" s="1763">
        <f>'Revenues 9-14'!H109</f>
        <v>242962</v>
      </c>
      <c r="I4" s="1763">
        <f>'Revenues 9-14'!I109</f>
        <v>26181</v>
      </c>
      <c r="J4" s="1763">
        <f>'Revenues 9-14'!J109</f>
        <v>144985</v>
      </c>
      <c r="K4" s="1763">
        <f>'Revenues 9-14'!K109</f>
        <v>22406</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1137429</v>
      </c>
      <c r="D6" s="1764">
        <f>'Revenues 9-14'!D173</f>
        <v>0</v>
      </c>
      <c r="E6" s="1764">
        <f>'Revenues 9-14'!E173</f>
        <v>0</v>
      </c>
      <c r="F6" s="1764">
        <f>'Revenues 9-14'!F173</f>
        <v>236473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348757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4092111</v>
      </c>
      <c r="D8" s="1709">
        <f t="shared" ref="D8:K8" si="0">SUM(D4:D7)</f>
        <v>411046</v>
      </c>
      <c r="E8" s="1709">
        <f t="shared" si="0"/>
        <v>592761</v>
      </c>
      <c r="F8" s="1709">
        <f t="shared" si="0"/>
        <v>504792</v>
      </c>
      <c r="G8" s="1709">
        <f t="shared" si="0"/>
        <v>143696</v>
      </c>
      <c r="H8" s="1709">
        <f t="shared" si="0"/>
        <v>242962</v>
      </c>
      <c r="I8" s="1709">
        <f t="shared" si="0"/>
        <v>26181</v>
      </c>
      <c r="J8" s="1709">
        <f t="shared" si="0"/>
        <v>144985</v>
      </c>
      <c r="K8" s="1709">
        <f t="shared" si="0"/>
        <v>22406</v>
      </c>
      <c r="L8" s="347"/>
    </row>
    <row r="9" spans="1:13" ht="15.75" thickTop="1" x14ac:dyDescent="0.2">
      <c r="A9" s="514" t="s">
        <v>1752</v>
      </c>
      <c r="B9" s="515">
        <v>3998</v>
      </c>
      <c r="C9" s="481">
        <v>226604</v>
      </c>
      <c r="D9" s="516"/>
      <c r="E9" s="481"/>
      <c r="F9" s="481"/>
      <c r="G9" s="517"/>
      <c r="H9" s="481"/>
      <c r="I9" s="509" t="s">
        <v>1231</v>
      </c>
      <c r="J9" s="478"/>
      <c r="K9" s="481"/>
      <c r="L9" s="347"/>
    </row>
    <row r="10" spans="1:13" s="519" customFormat="1" ht="13.5" thickBot="1" x14ac:dyDescent="0.25">
      <c r="A10" s="1757" t="s">
        <v>1235</v>
      </c>
      <c r="B10" s="1730"/>
      <c r="C10" s="1709">
        <f>SUM(C8:C9)</f>
        <v>4318715</v>
      </c>
      <c r="D10" s="1709">
        <f t="shared" ref="D10:K10" si="1">SUM(D8:D9)</f>
        <v>411046</v>
      </c>
      <c r="E10" s="1709">
        <f t="shared" si="1"/>
        <v>592761</v>
      </c>
      <c r="F10" s="1709">
        <f t="shared" si="1"/>
        <v>504792</v>
      </c>
      <c r="G10" s="1709">
        <f t="shared" si="1"/>
        <v>143696</v>
      </c>
      <c r="H10" s="1709">
        <f t="shared" si="1"/>
        <v>242962</v>
      </c>
      <c r="I10" s="1709">
        <f t="shared" si="1"/>
        <v>26181</v>
      </c>
      <c r="J10" s="1709">
        <f t="shared" si="1"/>
        <v>144985</v>
      </c>
      <c r="K10" s="1709">
        <f t="shared" si="1"/>
        <v>22406</v>
      </c>
      <c r="L10" s="518"/>
    </row>
    <row r="11" spans="1:13" s="519" customFormat="1" ht="16.7" customHeight="1" thickTop="1" x14ac:dyDescent="0.2">
      <c r="A11" s="2139" t="s">
        <v>1238</v>
      </c>
      <c r="B11" s="2140"/>
      <c r="C11" s="1591"/>
      <c r="D11" s="1592"/>
      <c r="E11" s="1592"/>
      <c r="F11" s="1592"/>
      <c r="G11" s="1592"/>
      <c r="H11" s="1592"/>
      <c r="I11" s="1592"/>
      <c r="J11" s="1592"/>
      <c r="K11" s="1593"/>
      <c r="L11" s="518"/>
    </row>
    <row r="12" spans="1:13" ht="15.75" customHeight="1" x14ac:dyDescent="0.2">
      <c r="A12" s="1597" t="s">
        <v>476</v>
      </c>
      <c r="B12" s="1599">
        <v>1000</v>
      </c>
      <c r="C12" s="1763">
        <f>'Expenditures 15-22'!K33</f>
        <v>2697382</v>
      </c>
      <c r="D12" s="520" t="s">
        <v>1231</v>
      </c>
      <c r="E12" s="468" t="s">
        <v>1231</v>
      </c>
      <c r="F12" s="468" t="s">
        <v>1231</v>
      </c>
      <c r="G12" s="1763">
        <f>'Expenditures 15-22'!K229</f>
        <v>76824</v>
      </c>
      <c r="H12" s="521"/>
      <c r="I12" s="468" t="s">
        <v>1231</v>
      </c>
      <c r="J12" s="468" t="s">
        <v>1231</v>
      </c>
      <c r="K12" s="521" t="s">
        <v>1231</v>
      </c>
      <c r="L12" s="347"/>
    </row>
    <row r="13" spans="1:13" ht="15.75" customHeight="1" x14ac:dyDescent="0.2">
      <c r="A13" s="1597" t="s">
        <v>477</v>
      </c>
      <c r="B13" s="1599">
        <v>2000</v>
      </c>
      <c r="C13" s="1764">
        <f>'Expenditures 15-22'!K74</f>
        <v>753632</v>
      </c>
      <c r="D13" s="1764">
        <f>'Expenditures 15-22'!K129</f>
        <v>341057</v>
      </c>
      <c r="E13" s="469" t="s">
        <v>1231</v>
      </c>
      <c r="F13" s="1764">
        <f>'Expenditures 15-22'!K184</f>
        <v>388225</v>
      </c>
      <c r="G13" s="1764">
        <f>'Expenditures 15-22'!K279</f>
        <v>71527</v>
      </c>
      <c r="H13" s="1764">
        <f>'Expenditures 15-22'!K303</f>
        <v>180671</v>
      </c>
      <c r="I13" s="468" t="s">
        <v>1231</v>
      </c>
      <c r="J13" s="1764">
        <f>'Expenditures 15-22'!K330</f>
        <v>144985</v>
      </c>
      <c r="K13" s="1768">
        <f>'Expenditures 15-22'!K352</f>
        <v>9255</v>
      </c>
      <c r="L13" s="347"/>
    </row>
    <row r="14" spans="1:13" ht="15.75" customHeight="1" x14ac:dyDescent="0.2">
      <c r="A14" s="1597" t="s">
        <v>469</v>
      </c>
      <c r="B14" s="1599">
        <v>3000</v>
      </c>
      <c r="C14" s="1764">
        <f>'Expenditures 15-22'!K75</f>
        <v>3260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385656</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608197</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3839930</v>
      </c>
      <c r="D17" s="1709">
        <f t="shared" si="2"/>
        <v>341057</v>
      </c>
      <c r="E17" s="1709">
        <f t="shared" si="2"/>
        <v>608197</v>
      </c>
      <c r="F17" s="1709">
        <f t="shared" si="2"/>
        <v>388225</v>
      </c>
      <c r="G17" s="1709">
        <f t="shared" si="2"/>
        <v>148351</v>
      </c>
      <c r="H17" s="1709">
        <f t="shared" si="2"/>
        <v>180671</v>
      </c>
      <c r="I17" s="468"/>
      <c r="J17" s="1709">
        <f>SUM(J12:J16)</f>
        <v>144985</v>
      </c>
      <c r="K17" s="1709">
        <f>SUM(K12:K16)</f>
        <v>9255</v>
      </c>
      <c r="L17" s="347"/>
    </row>
    <row r="18" spans="1:12" ht="15" customHeight="1" thickTop="1" x14ac:dyDescent="0.2">
      <c r="A18" s="1765" t="s">
        <v>1753</v>
      </c>
      <c r="B18" s="1766">
        <v>4180</v>
      </c>
      <c r="C18" s="1763">
        <f t="shared" ref="C18:H18" si="3">C9</f>
        <v>226604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4066534</v>
      </c>
      <c r="D19" s="1709">
        <f t="shared" si="4"/>
        <v>341057</v>
      </c>
      <c r="E19" s="1709">
        <f t="shared" si="4"/>
        <v>608197</v>
      </c>
      <c r="F19" s="1709">
        <f t="shared" si="4"/>
        <v>388225</v>
      </c>
      <c r="G19" s="1709">
        <f t="shared" si="4"/>
        <v>148351</v>
      </c>
      <c r="H19" s="1709">
        <f t="shared" si="4"/>
        <v>180671</v>
      </c>
      <c r="I19" s="468"/>
      <c r="J19" s="1709">
        <f>SUM(J17:J18)</f>
        <v>144985</v>
      </c>
      <c r="K19" s="1709">
        <f>SUM(K17:K18)</f>
        <v>9255</v>
      </c>
      <c r="L19" s="347"/>
    </row>
    <row r="20" spans="1:12" ht="16.5" thickTop="1" thickBot="1" x14ac:dyDescent="0.25">
      <c r="A20" s="2155" t="s">
        <v>1754</v>
      </c>
      <c r="B20" s="2156"/>
      <c r="C20" s="1767">
        <f>C8-C17</f>
        <v>252181</v>
      </c>
      <c r="D20" s="1767">
        <f t="shared" ref="D20:K20" si="5">D8-D17</f>
        <v>69989</v>
      </c>
      <c r="E20" s="1767">
        <f t="shared" si="5"/>
        <v>-15436</v>
      </c>
      <c r="F20" s="1767">
        <f t="shared" si="5"/>
        <v>116567</v>
      </c>
      <c r="G20" s="1767">
        <f t="shared" si="5"/>
        <v>-4655</v>
      </c>
      <c r="H20" s="1767">
        <f t="shared" si="5"/>
        <v>62291</v>
      </c>
      <c r="I20" s="1767">
        <f t="shared" si="5"/>
        <v>26181</v>
      </c>
      <c r="J20" s="1767">
        <f t="shared" si="5"/>
        <v>0</v>
      </c>
      <c r="K20" s="1767">
        <f t="shared" si="5"/>
        <v>13151</v>
      </c>
      <c r="L20" s="347"/>
    </row>
    <row r="21" spans="1:12" ht="16.7" customHeight="1" thickTop="1" x14ac:dyDescent="0.2">
      <c r="A21" s="2167" t="s">
        <v>616</v>
      </c>
      <c r="B21" s="2168"/>
      <c r="C21" s="1591"/>
      <c r="D21" s="1592"/>
      <c r="E21" s="1592"/>
      <c r="F21" s="1592"/>
      <c r="G21" s="1592"/>
      <c r="H21" s="1592"/>
      <c r="I21" s="1592"/>
      <c r="J21" s="1592"/>
      <c r="K21" s="1593"/>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0" t="s">
        <v>1755</v>
      </c>
      <c r="B24" s="525">
        <v>7110</v>
      </c>
      <c r="C24" s="467">
        <v>26181</v>
      </c>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v>2639</v>
      </c>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24184</v>
      </c>
      <c r="F37" s="475"/>
      <c r="G37" s="475"/>
      <c r="H37" s="475"/>
      <c r="I37" s="477"/>
      <c r="J37" s="475"/>
      <c r="K37" s="475"/>
      <c r="L37" s="524"/>
    </row>
    <row r="38" spans="1:12" s="485" customFormat="1" x14ac:dyDescent="0.2">
      <c r="A38" s="1510" t="s">
        <v>462</v>
      </c>
      <c r="B38" s="525">
        <v>7500</v>
      </c>
      <c r="C38" s="477"/>
      <c r="D38" s="477"/>
      <c r="E38" s="1764">
        <f>SUM(C58:D61,H58:H61)</f>
        <v>263</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v>20416</v>
      </c>
      <c r="D43" s="467"/>
      <c r="E43" s="467"/>
      <c r="F43" s="467"/>
      <c r="G43" s="467"/>
      <c r="H43" s="467"/>
      <c r="I43" s="467"/>
      <c r="J43" s="467"/>
      <c r="K43" s="467"/>
      <c r="L43" s="524"/>
    </row>
    <row r="44" spans="1:12" s="485" customFormat="1" ht="13.5" customHeight="1" thickBot="1" x14ac:dyDescent="0.25">
      <c r="A44" s="2169" t="s">
        <v>392</v>
      </c>
      <c r="B44" s="2170"/>
      <c r="C44" s="1724">
        <f>SUM(C24:C43)</f>
        <v>49236</v>
      </c>
      <c r="D44" s="1724">
        <f t="shared" ref="D44:K44" si="6">SUM(D24:D43)</f>
        <v>0</v>
      </c>
      <c r="E44" s="1724">
        <f t="shared" si="6"/>
        <v>24447</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26181</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v>2639</v>
      </c>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v>24184</v>
      </c>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v>263</v>
      </c>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4">
        <f t="shared" ref="C76:K76" si="7">SUM(C47:C75)</f>
        <v>24447</v>
      </c>
      <c r="D76" s="1724">
        <f t="shared" si="7"/>
        <v>0</v>
      </c>
      <c r="E76" s="1724">
        <f t="shared" si="7"/>
        <v>2639</v>
      </c>
      <c r="F76" s="1724">
        <f t="shared" si="7"/>
        <v>0</v>
      </c>
      <c r="G76" s="1724">
        <f t="shared" si="7"/>
        <v>0</v>
      </c>
      <c r="H76" s="1724">
        <f t="shared" si="7"/>
        <v>0</v>
      </c>
      <c r="I76" s="1724">
        <f t="shared" si="7"/>
        <v>26181</v>
      </c>
      <c r="J76" s="1724">
        <f t="shared" si="7"/>
        <v>0</v>
      </c>
      <c r="K76" s="1724">
        <f t="shared" si="7"/>
        <v>0</v>
      </c>
      <c r="L76" s="524"/>
    </row>
    <row r="77" spans="1:12" ht="14.25" thickTop="1" thickBot="1" x14ac:dyDescent="0.25">
      <c r="A77" s="2147" t="s">
        <v>1239</v>
      </c>
      <c r="B77" s="2148"/>
      <c r="C77" s="1724">
        <f t="shared" ref="C77:K77" si="8">C44-C76</f>
        <v>24789</v>
      </c>
      <c r="D77" s="1724">
        <f t="shared" si="8"/>
        <v>0</v>
      </c>
      <c r="E77" s="1724">
        <f t="shared" si="8"/>
        <v>21808</v>
      </c>
      <c r="F77" s="1724">
        <f t="shared" si="8"/>
        <v>0</v>
      </c>
      <c r="G77" s="1724">
        <f t="shared" si="8"/>
        <v>0</v>
      </c>
      <c r="H77" s="1724">
        <f t="shared" si="8"/>
        <v>0</v>
      </c>
      <c r="I77" s="1724">
        <f t="shared" si="8"/>
        <v>-26181</v>
      </c>
      <c r="J77" s="1724">
        <f t="shared" si="8"/>
        <v>0</v>
      </c>
      <c r="K77" s="1724">
        <f t="shared" si="8"/>
        <v>0</v>
      </c>
      <c r="L77" s="347"/>
    </row>
    <row r="78" spans="1:12" ht="21.75" customHeight="1" thickTop="1" thickBot="1" x14ac:dyDescent="0.25">
      <c r="A78" s="2151" t="s">
        <v>618</v>
      </c>
      <c r="B78" s="2152"/>
      <c r="C78" s="1723">
        <f t="shared" ref="C78:K78" si="9">C20+C77</f>
        <v>276970</v>
      </c>
      <c r="D78" s="1723">
        <f t="shared" si="9"/>
        <v>69989</v>
      </c>
      <c r="E78" s="1723">
        <f t="shared" si="9"/>
        <v>6372</v>
      </c>
      <c r="F78" s="1723">
        <f t="shared" si="9"/>
        <v>116567</v>
      </c>
      <c r="G78" s="1723">
        <f t="shared" si="9"/>
        <v>-4655</v>
      </c>
      <c r="H78" s="1723">
        <f t="shared" si="9"/>
        <v>62291</v>
      </c>
      <c r="I78" s="1723">
        <f t="shared" si="9"/>
        <v>0</v>
      </c>
      <c r="J78" s="1723">
        <f t="shared" si="9"/>
        <v>0</v>
      </c>
      <c r="K78" s="1723">
        <f t="shared" si="9"/>
        <v>13151</v>
      </c>
      <c r="L78" s="533"/>
    </row>
    <row r="79" spans="1:12" ht="13.5" thickTop="1" x14ac:dyDescent="0.2">
      <c r="A79" s="1515" t="s">
        <v>2073</v>
      </c>
      <c r="B79" s="534"/>
      <c r="C79" s="478">
        <v>3120696</v>
      </c>
      <c r="D79" s="535">
        <v>755051</v>
      </c>
      <c r="E79" s="535">
        <v>151602</v>
      </c>
      <c r="F79" s="535">
        <v>567644</v>
      </c>
      <c r="G79" s="535">
        <v>161512</v>
      </c>
      <c r="H79" s="535">
        <v>205631</v>
      </c>
      <c r="I79" s="535"/>
      <c r="J79" s="535"/>
      <c r="K79" s="535">
        <v>87980</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09">
        <f>(SUM(C78:C80))</f>
        <v>3397666</v>
      </c>
      <c r="D81" s="1709">
        <f>SUM(D78:D80)</f>
        <v>825040</v>
      </c>
      <c r="E81" s="1709">
        <f t="shared" ref="E81:K81" si="10">SUM(E78:E80)</f>
        <v>157974</v>
      </c>
      <c r="F81" s="1709">
        <f t="shared" si="10"/>
        <v>684211</v>
      </c>
      <c r="G81" s="1709">
        <f t="shared" si="10"/>
        <v>156857</v>
      </c>
      <c r="H81" s="1709">
        <f t="shared" si="10"/>
        <v>267922</v>
      </c>
      <c r="I81" s="1709">
        <f t="shared" si="10"/>
        <v>0</v>
      </c>
      <c r="J81" s="1709">
        <f t="shared" si="10"/>
        <v>0</v>
      </c>
      <c r="K81" s="1709">
        <f t="shared" si="10"/>
        <v>101131</v>
      </c>
      <c r="L81" s="347"/>
    </row>
    <row r="82" spans="1:12" ht="0.75" customHeight="1" thickTop="1" thickBot="1" x14ac:dyDescent="0.25">
      <c r="A82" s="536" t="s">
        <v>361</v>
      </c>
      <c r="B82" s="537"/>
      <c r="C82" s="538">
        <f>(C81-C79)</f>
        <v>276970</v>
      </c>
      <c r="D82" s="538">
        <f t="shared" ref="D82:K82" si="11">(D81-D79)</f>
        <v>69989</v>
      </c>
      <c r="E82" s="538">
        <f t="shared" si="11"/>
        <v>6372</v>
      </c>
      <c r="F82" s="538">
        <f t="shared" si="11"/>
        <v>116567</v>
      </c>
      <c r="G82" s="538">
        <f t="shared" si="11"/>
        <v>-4655</v>
      </c>
      <c r="H82" s="538">
        <f t="shared" si="11"/>
        <v>62291</v>
      </c>
      <c r="I82" s="538">
        <f t="shared" si="11"/>
        <v>0</v>
      </c>
      <c r="J82" s="538">
        <f t="shared" si="11"/>
        <v>0</v>
      </c>
      <c r="K82" s="538">
        <f t="shared" si="11"/>
        <v>13151</v>
      </c>
    </row>
    <row r="83" spans="1:12" ht="14.25" hidden="1" thickTop="1" thickBot="1" x14ac:dyDescent="0.25">
      <c r="A83" s="539" t="s">
        <v>362</v>
      </c>
      <c r="B83" s="464"/>
      <c r="C83" s="540">
        <f>C82/C81</f>
        <v>8.1517724225983371E-2</v>
      </c>
      <c r="D83" s="540">
        <f t="shared" ref="D83:K83" si="12">D82/D81</f>
        <v>8.4831038495103261E-2</v>
      </c>
      <c r="E83" s="540">
        <f t="shared" si="12"/>
        <v>4.0335751452770706E-2</v>
      </c>
      <c r="F83" s="540">
        <f t="shared" si="12"/>
        <v>0.17036703589974439</v>
      </c>
      <c r="G83" s="540">
        <f t="shared" si="12"/>
        <v>-2.9676711909573689E-2</v>
      </c>
      <c r="H83" s="540">
        <f t="shared" si="12"/>
        <v>0.23249677144840664</v>
      </c>
      <c r="I83" s="540" t="e">
        <f t="shared" si="12"/>
        <v>#DIV/0!</v>
      </c>
      <c r="J83" s="540" t="e">
        <f t="shared" si="12"/>
        <v>#DIV/0!</v>
      </c>
      <c r="K83" s="540">
        <f t="shared" si="12"/>
        <v>0.13003925601447627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I18" sqref="I18:S1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2068430</v>
      </c>
      <c r="D5" s="481">
        <v>391461</v>
      </c>
      <c r="E5" s="466">
        <v>590122</v>
      </c>
      <c r="F5" s="548">
        <v>231414</v>
      </c>
      <c r="G5" s="466">
        <v>61740</v>
      </c>
      <c r="H5" s="466"/>
      <c r="I5" s="466">
        <v>25977</v>
      </c>
      <c r="J5" s="467">
        <v>144274</v>
      </c>
      <c r="K5" s="466">
        <v>21165</v>
      </c>
    </row>
    <row r="6" spans="1:12" ht="15" x14ac:dyDescent="0.2">
      <c r="A6" s="463" t="s">
        <v>1761</v>
      </c>
      <c r="B6" s="470">
        <v>1130</v>
      </c>
      <c r="C6" s="466">
        <v>32420</v>
      </c>
      <c r="D6" s="466"/>
      <c r="E6" s="475"/>
      <c r="F6" s="475"/>
      <c r="G6" s="468"/>
      <c r="H6" s="468"/>
      <c r="I6" s="468"/>
      <c r="J6" s="468"/>
      <c r="K6" s="468"/>
    </row>
    <row r="7" spans="1:12" x14ac:dyDescent="0.2">
      <c r="A7" s="463" t="s">
        <v>112</v>
      </c>
      <c r="B7" s="549">
        <v>1140</v>
      </c>
      <c r="C7" s="466">
        <v>187918</v>
      </c>
      <c r="D7" s="466"/>
      <c r="E7" s="468"/>
      <c r="F7" s="467"/>
      <c r="G7" s="467"/>
      <c r="H7" s="467"/>
      <c r="I7" s="468"/>
      <c r="J7" s="468"/>
      <c r="K7" s="468"/>
    </row>
    <row r="8" spans="1:12" x14ac:dyDescent="0.2">
      <c r="A8" s="463" t="s">
        <v>433</v>
      </c>
      <c r="B8" s="470">
        <v>1150</v>
      </c>
      <c r="C8" s="475"/>
      <c r="D8" s="475"/>
      <c r="E8" s="477"/>
      <c r="F8" s="477"/>
      <c r="G8" s="481">
        <v>73142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2288768</v>
      </c>
      <c r="D12" s="1728">
        <f t="shared" si="0"/>
        <v>391461</v>
      </c>
      <c r="E12" s="1728">
        <f t="shared" si="0"/>
        <v>590122</v>
      </c>
      <c r="F12" s="1728">
        <f t="shared" si="0"/>
        <v>231414</v>
      </c>
      <c r="G12" s="1728">
        <f t="shared" si="0"/>
        <v>134882</v>
      </c>
      <c r="H12" s="1728">
        <f t="shared" si="0"/>
        <v>0</v>
      </c>
      <c r="I12" s="1728">
        <f t="shared" si="0"/>
        <v>25977</v>
      </c>
      <c r="J12" s="1728">
        <f t="shared" si="0"/>
        <v>144274</v>
      </c>
      <c r="K12" s="1709">
        <f t="shared" si="0"/>
        <v>21165</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97237</v>
      </c>
      <c r="D16" s="466"/>
      <c r="E16" s="466"/>
      <c r="F16" s="466"/>
      <c r="G16" s="466">
        <v>6376</v>
      </c>
      <c r="H16" s="466"/>
      <c r="I16" s="466"/>
      <c r="J16" s="467"/>
      <c r="K16" s="466"/>
    </row>
    <row r="17" spans="1:11" ht="12.75" customHeight="1" x14ac:dyDescent="0.2">
      <c r="A17" s="463" t="s">
        <v>840</v>
      </c>
      <c r="B17" s="470">
        <v>1290</v>
      </c>
      <c r="C17" s="551">
        <v>18039</v>
      </c>
      <c r="D17" s="466"/>
      <c r="E17" s="466"/>
      <c r="F17" s="466"/>
      <c r="G17" s="466"/>
      <c r="H17" s="466"/>
      <c r="I17" s="466"/>
      <c r="J17" s="467"/>
      <c r="K17" s="466"/>
    </row>
    <row r="18" spans="1:11" ht="12.75" customHeight="1" thickBot="1" x14ac:dyDescent="0.25">
      <c r="A18" s="1729" t="s">
        <v>558</v>
      </c>
      <c r="B18" s="1730"/>
      <c r="C18" s="1731">
        <f>SUM(C14:C17)</f>
        <v>115276</v>
      </c>
      <c r="D18" s="1731">
        <f t="shared" ref="D18:K18" si="1">SUM(D14:D17)</f>
        <v>0</v>
      </c>
      <c r="E18" s="1731">
        <f t="shared" si="1"/>
        <v>0</v>
      </c>
      <c r="F18" s="1731">
        <f t="shared" si="1"/>
        <v>0</v>
      </c>
      <c r="G18" s="1731">
        <f t="shared" si="1"/>
        <v>6376</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4175</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4175</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51659</v>
      </c>
      <c r="D65" s="466">
        <v>11685</v>
      </c>
      <c r="E65" s="466">
        <v>2639</v>
      </c>
      <c r="F65" s="467">
        <v>9532</v>
      </c>
      <c r="G65" s="466">
        <v>2438</v>
      </c>
      <c r="H65" s="466">
        <v>2170</v>
      </c>
      <c r="I65" s="466">
        <v>204</v>
      </c>
      <c r="J65" s="467">
        <v>711</v>
      </c>
      <c r="K65" s="466">
        <v>1241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51659</v>
      </c>
      <c r="D67" s="1709">
        <f t="shared" ref="D67:K67" si="2">SUM(D65:D66)</f>
        <v>11685</v>
      </c>
      <c r="E67" s="1709">
        <f t="shared" si="2"/>
        <v>2639</v>
      </c>
      <c r="F67" s="1709">
        <f t="shared" si="2"/>
        <v>9532</v>
      </c>
      <c r="G67" s="1709">
        <f t="shared" si="2"/>
        <v>2438</v>
      </c>
      <c r="H67" s="1709">
        <f t="shared" si="2"/>
        <v>2170</v>
      </c>
      <c r="I67" s="1709">
        <f t="shared" si="2"/>
        <v>204</v>
      </c>
      <c r="J67" s="1709">
        <f t="shared" si="2"/>
        <v>711</v>
      </c>
      <c r="K67" s="1709">
        <f t="shared" si="2"/>
        <v>1241</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60171</v>
      </c>
      <c r="D69" s="468"/>
      <c r="E69" s="468"/>
      <c r="F69" s="468"/>
      <c r="G69" s="468"/>
      <c r="H69" s="468"/>
      <c r="I69" s="468"/>
      <c r="J69" s="468"/>
      <c r="K69" s="468"/>
    </row>
    <row r="70" spans="1:11" ht="12.75" customHeight="1" x14ac:dyDescent="0.2">
      <c r="A70" s="463" t="s">
        <v>1054</v>
      </c>
      <c r="B70" s="470">
        <v>1612</v>
      </c>
      <c r="C70" s="551">
        <v>6146</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2197</v>
      </c>
      <c r="D73" s="468"/>
      <c r="E73" s="468"/>
      <c r="F73" s="468"/>
      <c r="G73" s="468"/>
      <c r="H73" s="468"/>
      <c r="I73" s="468"/>
      <c r="J73" s="468"/>
      <c r="K73" s="468"/>
    </row>
    <row r="74" spans="1:11" ht="12.75" customHeight="1" x14ac:dyDescent="0.2">
      <c r="A74" s="463" t="s">
        <v>25</v>
      </c>
      <c r="B74" s="470">
        <v>1690</v>
      </c>
      <c r="C74" s="551">
        <v>295</v>
      </c>
      <c r="D74" s="468"/>
      <c r="E74" s="468"/>
      <c r="F74" s="468"/>
      <c r="G74" s="468"/>
      <c r="H74" s="468"/>
      <c r="I74" s="468"/>
      <c r="J74" s="468"/>
      <c r="K74" s="468"/>
    </row>
    <row r="75" spans="1:11" ht="12.75" customHeight="1" thickBot="1" x14ac:dyDescent="0.25">
      <c r="A75" s="1729" t="s">
        <v>569</v>
      </c>
      <c r="B75" s="1730"/>
      <c r="C75" s="1709">
        <f>SUM(C69:C74)</f>
        <v>68809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17100</v>
      </c>
      <c r="D77" s="466"/>
      <c r="E77" s="468"/>
      <c r="F77" s="468"/>
      <c r="G77" s="468"/>
      <c r="H77" s="468"/>
      <c r="I77" s="468"/>
      <c r="J77" s="468"/>
      <c r="K77" s="468"/>
    </row>
    <row r="78" spans="1:11" ht="12.75" customHeight="1" x14ac:dyDescent="0.2">
      <c r="A78" s="463" t="s">
        <v>78</v>
      </c>
      <c r="B78" s="470">
        <v>1719</v>
      </c>
      <c r="C78" s="551">
        <v>6983</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24083</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22636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22636</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100</v>
      </c>
      <c r="E95" s="521"/>
      <c r="F95" s="521"/>
      <c r="G95" s="521"/>
      <c r="H95" s="521"/>
      <c r="I95" s="521"/>
      <c r="J95" s="521"/>
      <c r="K95" s="521"/>
    </row>
    <row r="96" spans="1:11" ht="12.75" customHeight="1" x14ac:dyDescent="0.2">
      <c r="A96" s="463" t="s">
        <v>409</v>
      </c>
      <c r="B96" s="470">
        <v>1920</v>
      </c>
      <c r="C96" s="551">
        <v>1470</v>
      </c>
      <c r="D96" s="551"/>
      <c r="E96" s="479"/>
      <c r="F96" s="478"/>
      <c r="G96" s="478"/>
      <c r="H96" s="478">
        <v>5215</v>
      </c>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30743</v>
      </c>
      <c r="D99" s="466">
        <v>7800</v>
      </c>
      <c r="E99" s="466"/>
      <c r="F99" s="466">
        <v>17826</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2481</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235577</v>
      </c>
      <c r="I103" s="468"/>
      <c r="J103" s="510"/>
      <c r="K103" s="510"/>
    </row>
    <row r="104" spans="1:12" ht="12.75" customHeight="1" x14ac:dyDescent="0.2">
      <c r="A104" s="463" t="s">
        <v>885</v>
      </c>
      <c r="B104" s="470">
        <v>1991</v>
      </c>
      <c r="C104" s="489"/>
      <c r="D104" s="466"/>
      <c r="E104" s="481"/>
      <c r="F104" s="467">
        <v>5372</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9" t="s">
        <v>508</v>
      </c>
      <c r="B108" s="1733"/>
      <c r="C108" s="1728">
        <f>SUM(C95:C107)</f>
        <v>34694</v>
      </c>
      <c r="D108" s="1728">
        <f t="shared" ref="D108:K108" si="3">SUM(D95:D107)</f>
        <v>7900</v>
      </c>
      <c r="E108" s="1728">
        <f t="shared" si="3"/>
        <v>0</v>
      </c>
      <c r="F108" s="1728">
        <f t="shared" si="3"/>
        <v>23198</v>
      </c>
      <c r="G108" s="1728">
        <f t="shared" si="3"/>
        <v>0</v>
      </c>
      <c r="H108" s="1728">
        <f t="shared" si="3"/>
        <v>240792</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2605925</v>
      </c>
      <c r="D109" s="1736">
        <f t="shared" si="4"/>
        <v>411046</v>
      </c>
      <c r="E109" s="1736">
        <f t="shared" si="4"/>
        <v>592761</v>
      </c>
      <c r="F109" s="1736">
        <f t="shared" si="4"/>
        <v>268319</v>
      </c>
      <c r="G109" s="1736">
        <f t="shared" si="4"/>
        <v>143696</v>
      </c>
      <c r="H109" s="1736">
        <f t="shared" si="4"/>
        <v>242962</v>
      </c>
      <c r="I109" s="1736">
        <f t="shared" si="4"/>
        <v>26181</v>
      </c>
      <c r="J109" s="1736">
        <f t="shared" si="4"/>
        <v>144985</v>
      </c>
      <c r="K109" s="1723">
        <f t="shared" si="4"/>
        <v>22406</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979639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979639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25516</v>
      </c>
      <c r="D125" s="561"/>
      <c r="E125" s="468"/>
      <c r="F125" s="466"/>
      <c r="G125" s="468"/>
      <c r="H125" s="468"/>
      <c r="I125" s="468"/>
      <c r="J125" s="468"/>
      <c r="K125" s="468"/>
    </row>
    <row r="126" spans="1:11" ht="12.75" customHeight="1" x14ac:dyDescent="0.2">
      <c r="A126" s="463" t="s">
        <v>922</v>
      </c>
      <c r="B126" s="562">
        <v>3110</v>
      </c>
      <c r="C126" s="551">
        <v>32398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209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58123</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1891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8662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10553</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807</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4604</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100457</v>
      </c>
      <c r="G151" s="467"/>
      <c r="H151" s="468"/>
      <c r="I151" s="468"/>
      <c r="J151" s="468"/>
      <c r="K151" s="468"/>
    </row>
    <row r="152" spans="1:11" ht="12.75" customHeight="1" x14ac:dyDescent="0.2">
      <c r="A152" s="463" t="s">
        <v>1117</v>
      </c>
      <c r="B152" s="562">
        <v>3510</v>
      </c>
      <c r="C152" s="551"/>
      <c r="D152" s="466"/>
      <c r="E152" s="561"/>
      <c r="F152" s="466">
        <v>136016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236473</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v>750</v>
      </c>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82203</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750</v>
      </c>
      <c r="D171" s="580"/>
      <c r="E171" s="580"/>
      <c r="F171" s="580"/>
      <c r="G171" s="581"/>
      <c r="H171" s="582"/>
      <c r="I171" s="581"/>
      <c r="J171" s="581"/>
      <c r="K171" s="582"/>
    </row>
    <row r="172" spans="1:11" ht="12.75" customHeight="1" thickTop="1" thickBot="1" x14ac:dyDescent="0.25">
      <c r="A172" s="2173" t="s">
        <v>418</v>
      </c>
      <c r="B172" s="2174"/>
      <c r="C172" s="1743">
        <f t="shared" ref="C172:K172" si="6">SUM(C131,C140,C144,C145:C149,C154,C155:C170,C171)</f>
        <v>157790</v>
      </c>
      <c r="D172" s="1743">
        <f t="shared" si="6"/>
        <v>0</v>
      </c>
      <c r="E172" s="1743">
        <f t="shared" si="6"/>
        <v>0</v>
      </c>
      <c r="F172" s="1743">
        <f t="shared" si="6"/>
        <v>236473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1137429</v>
      </c>
      <c r="D173" s="1736">
        <f>SUM(D121,D172)</f>
        <v>0</v>
      </c>
      <c r="E173" s="1736">
        <f>SUM(E121,E172)</f>
        <v>0</v>
      </c>
      <c r="F173" s="1736">
        <f t="shared" ref="F173:K173" si="7">SUM(F121,F172)</f>
        <v>236473</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9318</v>
      </c>
      <c r="D183" s="466"/>
      <c r="E183" s="468"/>
      <c r="F183" s="466"/>
      <c r="G183" s="466"/>
      <c r="H183" s="466"/>
      <c r="I183" s="468"/>
      <c r="J183" s="468"/>
      <c r="K183" s="466"/>
    </row>
    <row r="184" spans="1:11" ht="13.5" thickBot="1" x14ac:dyDescent="0.25">
      <c r="A184" s="2181" t="s">
        <v>818</v>
      </c>
      <c r="B184" s="2182"/>
      <c r="C184" s="1728">
        <f>SUM(C180:C183)</f>
        <v>9318</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54149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7619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61768</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130475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130475</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9350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70527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79877</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2563</v>
      </c>
      <c r="D226" s="466"/>
      <c r="E226" s="468"/>
      <c r="F226" s="468"/>
      <c r="G226" s="466"/>
      <c r="H226" s="468"/>
      <c r="I226" s="468"/>
      <c r="J226" s="468"/>
      <c r="K226" s="468"/>
    </row>
    <row r="227" spans="1:11" ht="12.75" customHeight="1" x14ac:dyDescent="0.2">
      <c r="A227" s="463" t="s">
        <v>69</v>
      </c>
      <c r="B227" s="470">
        <v>4799</v>
      </c>
      <c r="C227" s="551">
        <v>758</v>
      </c>
      <c r="D227" s="466"/>
      <c r="E227" s="468"/>
      <c r="F227" s="468"/>
      <c r="G227" s="466"/>
      <c r="H227" s="468"/>
      <c r="I227" s="468"/>
      <c r="J227" s="468"/>
      <c r="K227" s="468"/>
    </row>
    <row r="228" spans="1:11" ht="12.75" customHeight="1" thickBot="1" x14ac:dyDescent="0.25">
      <c r="A228" s="1744" t="s">
        <v>1145</v>
      </c>
      <c r="B228" s="1745"/>
      <c r="C228" s="1728">
        <f>SUM(C226:C227)</f>
        <v>3321</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25738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4592</v>
      </c>
      <c r="D270" s="576"/>
      <c r="E270" s="468"/>
      <c r="F270" s="576"/>
      <c r="G270" s="576"/>
      <c r="H270" s="468"/>
      <c r="I270" s="468"/>
      <c r="J270" s="468"/>
      <c r="K270" s="468"/>
    </row>
    <row r="271" spans="1:11" ht="12.75" customHeight="1" thickTop="1" thickBot="1" x14ac:dyDescent="0.25">
      <c r="A271" s="463" t="s">
        <v>395</v>
      </c>
      <c r="B271" s="470">
        <v>4992</v>
      </c>
      <c r="C271" s="575">
        <v>33668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339439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348757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4092111</v>
      </c>
      <c r="D275" s="1736">
        <f t="shared" si="12"/>
        <v>411046</v>
      </c>
      <c r="E275" s="1736">
        <f t="shared" si="12"/>
        <v>592761</v>
      </c>
      <c r="F275" s="1736">
        <f t="shared" si="12"/>
        <v>504792</v>
      </c>
      <c r="G275" s="1736">
        <f t="shared" si="12"/>
        <v>143696</v>
      </c>
      <c r="H275" s="1736">
        <f t="shared" si="12"/>
        <v>242962</v>
      </c>
      <c r="I275" s="1736">
        <f t="shared" si="12"/>
        <v>26181</v>
      </c>
      <c r="J275" s="1736">
        <f t="shared" si="12"/>
        <v>144985</v>
      </c>
      <c r="K275" s="1723">
        <f t="shared" si="12"/>
        <v>22406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22" activePane="bottomLeft" state="frozen"/>
      <selection activeCell="I18" sqref="I18:S18"/>
      <selection pane="bottomLeft" activeCell="I18" sqref="I18:S1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1407908</v>
      </c>
      <c r="D5" s="466">
        <v>469100</v>
      </c>
      <c r="E5" s="466">
        <v>62612</v>
      </c>
      <c r="F5" s="466">
        <v>23558</v>
      </c>
      <c r="G5" s="466">
        <v>22145</v>
      </c>
      <c r="H5" s="466">
        <v>1484</v>
      </c>
      <c r="I5" s="467"/>
      <c r="J5" s="467"/>
      <c r="K5" s="1692">
        <f>SUM(C5:J5)</f>
        <v>1986807</v>
      </c>
      <c r="L5" s="466">
        <v>1870202</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49261</v>
      </c>
      <c r="D7" s="467">
        <v>3538</v>
      </c>
      <c r="E7" s="467"/>
      <c r="F7" s="467">
        <v>1048</v>
      </c>
      <c r="G7" s="467"/>
      <c r="H7" s="467"/>
      <c r="I7" s="467"/>
      <c r="J7" s="467"/>
      <c r="K7" s="1692">
        <f t="shared" ref="K7:K32" si="0">SUM(C7:J7)</f>
        <v>53847</v>
      </c>
      <c r="L7" s="466">
        <v>210087</v>
      </c>
    </row>
    <row r="8" spans="1:14" x14ac:dyDescent="0.2">
      <c r="A8" s="1525" t="s">
        <v>166</v>
      </c>
      <c r="B8" s="615">
        <v>1200</v>
      </c>
      <c r="C8" s="466">
        <v>242957</v>
      </c>
      <c r="D8" s="466">
        <v>54299</v>
      </c>
      <c r="E8" s="466">
        <v>630</v>
      </c>
      <c r="F8" s="466">
        <v>1531</v>
      </c>
      <c r="G8" s="466">
        <v>1773</v>
      </c>
      <c r="H8" s="466"/>
      <c r="I8" s="467"/>
      <c r="J8" s="467"/>
      <c r="K8" s="1692">
        <f t="shared" si="0"/>
        <v>301190</v>
      </c>
      <c r="L8" s="466">
        <v>304664</v>
      </c>
    </row>
    <row r="9" spans="1:14" x14ac:dyDescent="0.2">
      <c r="A9" s="1525" t="s">
        <v>745</v>
      </c>
      <c r="B9" s="615" t="s">
        <v>1025</v>
      </c>
      <c r="C9" s="467">
        <v>5618</v>
      </c>
      <c r="D9" s="467"/>
      <c r="E9" s="467"/>
      <c r="F9" s="467"/>
      <c r="G9" s="467"/>
      <c r="H9" s="467"/>
      <c r="I9" s="467"/>
      <c r="J9" s="467"/>
      <c r="K9" s="1692">
        <f t="shared" si="0"/>
        <v>5618</v>
      </c>
      <c r="L9" s="466">
        <v>5768</v>
      </c>
    </row>
    <row r="10" spans="1:14" x14ac:dyDescent="0.2">
      <c r="A10" s="1525" t="s">
        <v>746</v>
      </c>
      <c r="B10" s="615">
        <v>1250</v>
      </c>
      <c r="C10" s="466">
        <v>83938</v>
      </c>
      <c r="D10" s="466">
        <v>8942</v>
      </c>
      <c r="E10" s="466">
        <v>1736</v>
      </c>
      <c r="F10" s="466">
        <v>19428</v>
      </c>
      <c r="G10" s="466"/>
      <c r="H10" s="466"/>
      <c r="I10" s="467"/>
      <c r="J10" s="467"/>
      <c r="K10" s="1692">
        <f t="shared" si="0"/>
        <v>114044</v>
      </c>
      <c r="L10" s="466">
        <v>139574</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89418</v>
      </c>
      <c r="D13" s="466">
        <v>24811</v>
      </c>
      <c r="E13" s="466">
        <v>324</v>
      </c>
      <c r="F13" s="466">
        <v>8724</v>
      </c>
      <c r="G13" s="466"/>
      <c r="H13" s="466"/>
      <c r="I13" s="467"/>
      <c r="J13" s="467"/>
      <c r="K13" s="1692">
        <f t="shared" si="0"/>
        <v>123277</v>
      </c>
      <c r="L13" s="466">
        <v>128975</v>
      </c>
    </row>
    <row r="14" spans="1:14" x14ac:dyDescent="0.2">
      <c r="A14" s="1525" t="s">
        <v>1020</v>
      </c>
      <c r="B14" s="615">
        <v>1500</v>
      </c>
      <c r="C14" s="466">
        <v>63445</v>
      </c>
      <c r="D14" s="466">
        <v>3017</v>
      </c>
      <c r="E14" s="466">
        <v>13923</v>
      </c>
      <c r="F14" s="466">
        <v>2278</v>
      </c>
      <c r="G14" s="466"/>
      <c r="H14" s="466">
        <v>1088</v>
      </c>
      <c r="I14" s="467"/>
      <c r="J14" s="467"/>
      <c r="K14" s="1692">
        <f t="shared" si="0"/>
        <v>83751</v>
      </c>
      <c r="L14" s="466">
        <v>91854</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23855</v>
      </c>
      <c r="D17" s="467">
        <v>2774</v>
      </c>
      <c r="E17" s="467">
        <v>2185</v>
      </c>
      <c r="F17" s="467">
        <v>34</v>
      </c>
      <c r="G17" s="467"/>
      <c r="H17" s="467"/>
      <c r="I17" s="467"/>
      <c r="J17" s="467"/>
      <c r="K17" s="1692">
        <f t="shared" si="0"/>
        <v>28848</v>
      </c>
      <c r="L17" s="466">
        <v>29189</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1966400</v>
      </c>
      <c r="D33" s="1691">
        <f t="shared" ref="D33:L33" si="1">SUM(D5:D32)</f>
        <v>566481</v>
      </c>
      <c r="E33" s="1691">
        <f t="shared" si="1"/>
        <v>81410</v>
      </c>
      <c r="F33" s="1691">
        <f t="shared" si="1"/>
        <v>56601</v>
      </c>
      <c r="G33" s="1691">
        <f t="shared" si="1"/>
        <v>23918</v>
      </c>
      <c r="H33" s="1691">
        <f t="shared" si="1"/>
        <v>2572</v>
      </c>
      <c r="I33" s="1691">
        <f t="shared" si="1"/>
        <v>0</v>
      </c>
      <c r="J33" s="1691">
        <f t="shared" si="1"/>
        <v>0</v>
      </c>
      <c r="K33" s="1691">
        <f t="shared" si="1"/>
        <v>2697382</v>
      </c>
      <c r="L33" s="1691">
        <f t="shared" si="1"/>
        <v>2780313</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53484</v>
      </c>
      <c r="D37" s="466">
        <v>16890</v>
      </c>
      <c r="E37" s="466">
        <v>983</v>
      </c>
      <c r="F37" s="466"/>
      <c r="G37" s="466"/>
      <c r="H37" s="466"/>
      <c r="I37" s="467"/>
      <c r="J37" s="467"/>
      <c r="K37" s="1692">
        <f t="shared" si="2"/>
        <v>71357</v>
      </c>
      <c r="L37" s="466">
        <v>76295</v>
      </c>
    </row>
    <row r="38" spans="1:14" x14ac:dyDescent="0.2">
      <c r="A38" s="1525" t="s">
        <v>207</v>
      </c>
      <c r="B38" s="615">
        <v>2130</v>
      </c>
      <c r="C38" s="466"/>
      <c r="D38" s="466"/>
      <c r="E38" s="466">
        <v>722</v>
      </c>
      <c r="F38" s="466">
        <v>328</v>
      </c>
      <c r="G38" s="466"/>
      <c r="H38" s="466"/>
      <c r="I38" s="467"/>
      <c r="J38" s="467"/>
      <c r="K38" s="1692">
        <f t="shared" si="2"/>
        <v>1050</v>
      </c>
      <c r="L38" s="466">
        <v>1122</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v>53516</v>
      </c>
      <c r="F40" s="466"/>
      <c r="G40" s="466"/>
      <c r="H40" s="466"/>
      <c r="I40" s="467"/>
      <c r="J40" s="467"/>
      <c r="K40" s="1692">
        <f t="shared" si="2"/>
        <v>53516</v>
      </c>
      <c r="L40" s="466">
        <v>58184</v>
      </c>
    </row>
    <row r="41" spans="1:14" x14ac:dyDescent="0.2">
      <c r="A41" s="1525" t="s">
        <v>1768</v>
      </c>
      <c r="B41" s="615">
        <v>2190</v>
      </c>
      <c r="C41" s="466">
        <v>1500</v>
      </c>
      <c r="D41" s="466">
        <v>121</v>
      </c>
      <c r="E41" s="466">
        <v>11928</v>
      </c>
      <c r="F41" s="466">
        <v>783</v>
      </c>
      <c r="G41" s="466"/>
      <c r="H41" s="466"/>
      <c r="I41" s="467"/>
      <c r="J41" s="467"/>
      <c r="K41" s="1692">
        <f t="shared" si="2"/>
        <v>14332</v>
      </c>
      <c r="L41" s="466">
        <v>14788</v>
      </c>
    </row>
    <row r="42" spans="1:14" ht="12.75" customHeight="1" thickBot="1" x14ac:dyDescent="0.25">
      <c r="A42" s="1689" t="s">
        <v>581</v>
      </c>
      <c r="B42" s="1690" t="s">
        <v>740</v>
      </c>
      <c r="C42" s="1691">
        <f>SUM(C36:C41)</f>
        <v>54984</v>
      </c>
      <c r="D42" s="1691">
        <f t="shared" ref="D42:L42" si="3">SUM(D36:D41)</f>
        <v>17011</v>
      </c>
      <c r="E42" s="1691">
        <f t="shared" si="3"/>
        <v>67149</v>
      </c>
      <c r="F42" s="1691">
        <f t="shared" si="3"/>
        <v>1111</v>
      </c>
      <c r="G42" s="1691">
        <f t="shared" si="3"/>
        <v>0</v>
      </c>
      <c r="H42" s="1691">
        <f t="shared" si="3"/>
        <v>0</v>
      </c>
      <c r="I42" s="1691">
        <f t="shared" si="3"/>
        <v>0</v>
      </c>
      <c r="J42" s="1691">
        <f t="shared" si="3"/>
        <v>0</v>
      </c>
      <c r="K42" s="1691">
        <f t="shared" si="3"/>
        <v>140255</v>
      </c>
      <c r="L42" s="1691">
        <f t="shared" si="3"/>
        <v>150389</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1880</v>
      </c>
      <c r="D44" s="481">
        <v>81</v>
      </c>
      <c r="E44" s="481">
        <v>6082</v>
      </c>
      <c r="F44" s="481"/>
      <c r="G44" s="481"/>
      <c r="H44" s="481"/>
      <c r="I44" s="467"/>
      <c r="J44" s="467"/>
      <c r="K44" s="1693">
        <f>SUM(C44:J44)</f>
        <v>8043</v>
      </c>
      <c r="L44" s="481">
        <v>18202</v>
      </c>
    </row>
    <row r="45" spans="1:14" x14ac:dyDescent="0.2">
      <c r="A45" s="1525" t="s">
        <v>869</v>
      </c>
      <c r="B45" s="615">
        <v>2220</v>
      </c>
      <c r="C45" s="466">
        <v>12700</v>
      </c>
      <c r="D45" s="466">
        <v>2528</v>
      </c>
      <c r="E45" s="466">
        <v>3346</v>
      </c>
      <c r="F45" s="466">
        <v>6289</v>
      </c>
      <c r="G45" s="466">
        <v>2185</v>
      </c>
      <c r="H45" s="466"/>
      <c r="I45" s="467"/>
      <c r="J45" s="467"/>
      <c r="K45" s="1693">
        <f>SUM(C45:J45)</f>
        <v>27048</v>
      </c>
      <c r="L45" s="466">
        <v>35414</v>
      </c>
    </row>
    <row r="46" spans="1:14" x14ac:dyDescent="0.2">
      <c r="A46" s="1525" t="s">
        <v>870</v>
      </c>
      <c r="B46" s="615">
        <v>2230</v>
      </c>
      <c r="C46" s="466"/>
      <c r="D46" s="466"/>
      <c r="E46" s="466">
        <v>9694</v>
      </c>
      <c r="F46" s="466"/>
      <c r="G46" s="466"/>
      <c r="H46" s="466"/>
      <c r="I46" s="467"/>
      <c r="J46" s="467"/>
      <c r="K46" s="1693">
        <f>SUM(C46:J46)</f>
        <v>9694</v>
      </c>
      <c r="L46" s="466">
        <v>9695</v>
      </c>
    </row>
    <row r="47" spans="1:14" ht="12.75" customHeight="1" thickBot="1" x14ac:dyDescent="0.25">
      <c r="A47" s="1689" t="s">
        <v>582</v>
      </c>
      <c r="B47" s="1690" t="s">
        <v>32</v>
      </c>
      <c r="C47" s="1691">
        <f>SUM(C44:C46)</f>
        <v>14580</v>
      </c>
      <c r="D47" s="1691">
        <f t="shared" ref="D47:K47" si="4">SUM(D44:D46)</f>
        <v>2609</v>
      </c>
      <c r="E47" s="1691">
        <f t="shared" si="4"/>
        <v>19122</v>
      </c>
      <c r="F47" s="1691">
        <f t="shared" si="4"/>
        <v>6289</v>
      </c>
      <c r="G47" s="1691">
        <f t="shared" si="4"/>
        <v>2185</v>
      </c>
      <c r="H47" s="1691">
        <f t="shared" si="4"/>
        <v>0</v>
      </c>
      <c r="I47" s="1691">
        <f t="shared" si="4"/>
        <v>0</v>
      </c>
      <c r="J47" s="1691">
        <f t="shared" si="4"/>
        <v>0</v>
      </c>
      <c r="K47" s="1691">
        <f t="shared" si="4"/>
        <v>44785</v>
      </c>
      <c r="L47" s="1691">
        <f>SUM(L44:L46)</f>
        <v>63311</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2250</v>
      </c>
      <c r="D49" s="481"/>
      <c r="E49" s="481">
        <v>23932</v>
      </c>
      <c r="F49" s="481">
        <v>1109</v>
      </c>
      <c r="G49" s="481"/>
      <c r="H49" s="481">
        <v>8768</v>
      </c>
      <c r="I49" s="467"/>
      <c r="J49" s="467"/>
      <c r="K49" s="1693">
        <f>SUM(C49:J49)</f>
        <v>36059</v>
      </c>
      <c r="L49" s="481">
        <v>39062</v>
      </c>
    </row>
    <row r="50" spans="1:14" x14ac:dyDescent="0.2">
      <c r="A50" s="1525" t="s">
        <v>872</v>
      </c>
      <c r="B50" s="615">
        <v>2320</v>
      </c>
      <c r="C50" s="466">
        <v>59189</v>
      </c>
      <c r="D50" s="466">
        <v>12219</v>
      </c>
      <c r="E50" s="466">
        <v>1035</v>
      </c>
      <c r="F50" s="466"/>
      <c r="G50" s="466"/>
      <c r="H50" s="466"/>
      <c r="I50" s="467"/>
      <c r="J50" s="467"/>
      <c r="K50" s="1693">
        <f>SUM(C50:J50)</f>
        <v>72443</v>
      </c>
      <c r="L50" s="466">
        <v>76681</v>
      </c>
    </row>
    <row r="51" spans="1:14" x14ac:dyDescent="0.2">
      <c r="A51" s="1525" t="s">
        <v>44</v>
      </c>
      <c r="B51" s="615">
        <v>2330</v>
      </c>
      <c r="C51" s="466">
        <v>933</v>
      </c>
      <c r="D51" s="466">
        <v>113</v>
      </c>
      <c r="E51" s="466"/>
      <c r="F51" s="466"/>
      <c r="G51" s="466"/>
      <c r="H51" s="466"/>
      <c r="I51" s="467"/>
      <c r="J51" s="467"/>
      <c r="K51" s="1693">
        <f>SUM(C51:J51)</f>
        <v>1046</v>
      </c>
      <c r="L51" s="466">
        <v>1048</v>
      </c>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62372</v>
      </c>
      <c r="D53" s="1691">
        <f t="shared" ref="D53:L53" si="5">SUM(D49:D52)</f>
        <v>12332</v>
      </c>
      <c r="E53" s="1691">
        <f t="shared" si="5"/>
        <v>24967</v>
      </c>
      <c r="F53" s="1691">
        <f t="shared" si="5"/>
        <v>1109</v>
      </c>
      <c r="G53" s="1691">
        <f t="shared" si="5"/>
        <v>0</v>
      </c>
      <c r="H53" s="1691">
        <f t="shared" si="5"/>
        <v>8768</v>
      </c>
      <c r="I53" s="1691">
        <f t="shared" si="5"/>
        <v>0</v>
      </c>
      <c r="J53" s="1691">
        <f t="shared" si="5"/>
        <v>0</v>
      </c>
      <c r="K53" s="1691">
        <f t="shared" si="5"/>
        <v>109548</v>
      </c>
      <c r="L53" s="1691">
        <f t="shared" si="5"/>
        <v>116791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194469</v>
      </c>
      <c r="D55" s="481">
        <v>60887</v>
      </c>
      <c r="E55" s="481">
        <v>3452</v>
      </c>
      <c r="F55" s="481"/>
      <c r="G55" s="481"/>
      <c r="H55" s="481"/>
      <c r="I55" s="467"/>
      <c r="J55" s="467"/>
      <c r="K55" s="1693">
        <f>SUM(C55:J55)</f>
        <v>258808</v>
      </c>
      <c r="L55" s="481">
        <v>266168</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194469</v>
      </c>
      <c r="D57" s="1695">
        <f t="shared" ref="D57:K57" si="6">SUM(D55:D56)</f>
        <v>60887</v>
      </c>
      <c r="E57" s="1695">
        <f t="shared" si="6"/>
        <v>3452</v>
      </c>
      <c r="F57" s="1695">
        <f t="shared" si="6"/>
        <v>0</v>
      </c>
      <c r="G57" s="1695">
        <f t="shared" si="6"/>
        <v>0</v>
      </c>
      <c r="H57" s="1695">
        <f t="shared" si="6"/>
        <v>0</v>
      </c>
      <c r="I57" s="1695">
        <f t="shared" si="6"/>
        <v>0</v>
      </c>
      <c r="J57" s="1695">
        <f t="shared" si="6"/>
        <v>0</v>
      </c>
      <c r="K57" s="1695">
        <f t="shared" si="6"/>
        <v>258808</v>
      </c>
      <c r="L57" s="1691">
        <f>SUM(L55:L56)</f>
        <v>266168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43788</v>
      </c>
      <c r="D60" s="466">
        <v>7192</v>
      </c>
      <c r="E60" s="466">
        <v>1641</v>
      </c>
      <c r="F60" s="466">
        <v>911</v>
      </c>
      <c r="G60" s="466"/>
      <c r="H60" s="466"/>
      <c r="I60" s="467"/>
      <c r="J60" s="467"/>
      <c r="K60" s="1693">
        <f t="shared" si="7"/>
        <v>53532</v>
      </c>
      <c r="L60" s="466">
        <v>57623</v>
      </c>
      <c r="M60" s="610"/>
      <c r="N60" s="610"/>
    </row>
    <row r="61" spans="1:14" s="343" customFormat="1" x14ac:dyDescent="0.2">
      <c r="A61" s="1525" t="s">
        <v>206</v>
      </c>
      <c r="B61" s="615">
        <v>2540</v>
      </c>
      <c r="C61" s="466"/>
      <c r="D61" s="466"/>
      <c r="E61" s="466">
        <v>5406</v>
      </c>
      <c r="F61" s="466"/>
      <c r="G61" s="466"/>
      <c r="H61" s="466"/>
      <c r="I61" s="467"/>
      <c r="J61" s="467"/>
      <c r="K61" s="1693">
        <f t="shared" si="7"/>
        <v>5406</v>
      </c>
      <c r="L61" s="466">
        <v>5640</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62529</v>
      </c>
      <c r="D63" s="466">
        <v>1900</v>
      </c>
      <c r="E63" s="466">
        <v>4651</v>
      </c>
      <c r="F63" s="466">
        <v>59310</v>
      </c>
      <c r="G63" s="466"/>
      <c r="H63" s="466"/>
      <c r="I63" s="467"/>
      <c r="J63" s="467"/>
      <c r="K63" s="1693">
        <f t="shared" si="7"/>
        <v>128390</v>
      </c>
      <c r="L63" s="466">
        <v>143577</v>
      </c>
    </row>
    <row r="64" spans="1:14" s="610" customFormat="1" x14ac:dyDescent="0.2">
      <c r="A64" s="1530" t="s">
        <v>103</v>
      </c>
      <c r="B64" s="631">
        <v>2570</v>
      </c>
      <c r="C64" s="481"/>
      <c r="D64" s="481"/>
      <c r="E64" s="481">
        <v>3334</v>
      </c>
      <c r="F64" s="481">
        <v>9536</v>
      </c>
      <c r="G64" s="481"/>
      <c r="H64" s="481"/>
      <c r="I64" s="467"/>
      <c r="J64" s="467"/>
      <c r="K64" s="1693">
        <f t="shared" si="7"/>
        <v>12870</v>
      </c>
      <c r="L64" s="481">
        <v>13700</v>
      </c>
    </row>
    <row r="65" spans="1:14" s="343" customFormat="1" ht="12.75" customHeight="1" thickBot="1" x14ac:dyDescent="0.25">
      <c r="A65" s="1689" t="s">
        <v>743</v>
      </c>
      <c r="B65" s="1690" t="s">
        <v>35</v>
      </c>
      <c r="C65" s="1691">
        <f>SUM(C59:C64)</f>
        <v>106317</v>
      </c>
      <c r="D65" s="1691">
        <f t="shared" ref="D65:L65" si="8">SUM(D59:D64)</f>
        <v>9092</v>
      </c>
      <c r="E65" s="1691">
        <f t="shared" si="8"/>
        <v>15032</v>
      </c>
      <c r="F65" s="1691">
        <f t="shared" si="8"/>
        <v>69757</v>
      </c>
      <c r="G65" s="1691">
        <f t="shared" si="8"/>
        <v>0</v>
      </c>
      <c r="H65" s="1691">
        <f t="shared" si="8"/>
        <v>0</v>
      </c>
      <c r="I65" s="1691">
        <f t="shared" si="8"/>
        <v>0</v>
      </c>
      <c r="J65" s="1691">
        <f t="shared" si="8"/>
        <v>0</v>
      </c>
      <c r="K65" s="1691">
        <f t="shared" si="8"/>
        <v>200198</v>
      </c>
      <c r="L65" s="1691">
        <f t="shared" si="8"/>
        <v>220540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v>38</v>
      </c>
      <c r="G73" s="573"/>
      <c r="H73" s="573"/>
      <c r="I73" s="531"/>
      <c r="J73" s="531"/>
      <c r="K73" s="1691">
        <f>SUM(C73:J73)</f>
        <v>38</v>
      </c>
      <c r="L73" s="576">
        <v>250</v>
      </c>
      <c r="M73" s="610"/>
      <c r="N73" s="610"/>
    </row>
    <row r="74" spans="1:14" ht="12.75" customHeight="1" thickTop="1" thickBot="1" x14ac:dyDescent="0.25">
      <c r="A74" s="1689" t="s">
        <v>865</v>
      </c>
      <c r="B74" s="1697">
        <v>2000</v>
      </c>
      <c r="C74" s="1698">
        <f>SUM(C42,C47,C53,C57,C65,C72,C73)</f>
        <v>432722</v>
      </c>
      <c r="D74" s="1698">
        <f t="shared" ref="D74:K74" si="10">SUM(D42,D47,D53,D57,D65,D72,D73)</f>
        <v>101931</v>
      </c>
      <c r="E74" s="1698">
        <f t="shared" si="10"/>
        <v>129722</v>
      </c>
      <c r="F74" s="1698">
        <f t="shared" si="10"/>
        <v>78304</v>
      </c>
      <c r="G74" s="1698">
        <f t="shared" si="10"/>
        <v>2185</v>
      </c>
      <c r="H74" s="1698">
        <f t="shared" si="10"/>
        <v>8768</v>
      </c>
      <c r="I74" s="1698">
        <f t="shared" si="10"/>
        <v>0</v>
      </c>
      <c r="J74" s="1698">
        <f t="shared" si="10"/>
        <v>0</v>
      </c>
      <c r="K74" s="1698">
        <f t="shared" si="10"/>
        <v>753632</v>
      </c>
      <c r="L74" s="1698">
        <f>SUM(L42,L47,L53,L57,L65,L72,L73)</f>
        <v>817449</v>
      </c>
    </row>
    <row r="75" spans="1:14" s="259" customFormat="1" ht="15.75" customHeight="1" thickTop="1" thickBot="1" x14ac:dyDescent="0.25">
      <c r="A75" s="1631" t="s">
        <v>49</v>
      </c>
      <c r="B75" s="1632" t="s">
        <v>596</v>
      </c>
      <c r="C75" s="573">
        <v>1200</v>
      </c>
      <c r="D75" s="573"/>
      <c r="E75" s="573">
        <v>1800</v>
      </c>
      <c r="F75" s="573">
        <v>260</v>
      </c>
      <c r="G75" s="573"/>
      <c r="H75" s="573"/>
      <c r="I75" s="531"/>
      <c r="J75" s="531"/>
      <c r="K75" s="1691">
        <f>SUM(C75:J75)</f>
        <v>3260</v>
      </c>
      <c r="L75" s="576">
        <v>4000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201872</v>
      </c>
      <c r="F79" s="617"/>
      <c r="G79" s="617"/>
      <c r="H79" s="466">
        <v>111548</v>
      </c>
      <c r="I79" s="477"/>
      <c r="J79" s="477"/>
      <c r="K79" s="1692">
        <f t="shared" si="11"/>
        <v>313420</v>
      </c>
      <c r="L79" s="466">
        <v>363777</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v>59090</v>
      </c>
      <c r="I81" s="477"/>
      <c r="J81" s="477"/>
      <c r="K81" s="1692">
        <f t="shared" si="11"/>
        <v>59090</v>
      </c>
      <c r="L81" s="466">
        <v>59091</v>
      </c>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201872</v>
      </c>
      <c r="F84" s="617"/>
      <c r="G84" s="617"/>
      <c r="H84" s="1691">
        <f>SUM(H78:H83)</f>
        <v>170638</v>
      </c>
      <c r="I84" s="477"/>
      <c r="J84" s="477"/>
      <c r="K84" s="1691">
        <f>SUM(K78:K83)</f>
        <v>372510</v>
      </c>
      <c r="L84" s="1691">
        <f>SUM(L78:L83)</f>
        <v>422868</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13146</v>
      </c>
      <c r="I86" s="477"/>
      <c r="J86" s="477"/>
      <c r="K86" s="1698">
        <f t="shared" ref="K86:K98" si="12">H86</f>
        <v>13146</v>
      </c>
      <c r="L86" s="530">
        <v>13200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13146</v>
      </c>
      <c r="I92" s="477"/>
      <c r="J92" s="477"/>
      <c r="K92" s="1698">
        <f t="shared" si="12"/>
        <v>13146</v>
      </c>
      <c r="L92" s="1691">
        <f>SUM(L85:L91)</f>
        <v>13200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201872</v>
      </c>
      <c r="F102" s="617"/>
      <c r="G102" s="617"/>
      <c r="H102" s="1698">
        <f>SUM(H84,H92,H100,H101)</f>
        <v>183784</v>
      </c>
      <c r="I102" s="477"/>
      <c r="J102" s="477"/>
      <c r="K102" s="1698">
        <f>SUM(K84,K92,K100,K101)</f>
        <v>385656</v>
      </c>
      <c r="L102" s="1698">
        <f>SUM(L84,L92,L100,L101)</f>
        <v>436068</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2400322</v>
      </c>
      <c r="D114" s="1691">
        <f t="shared" ref="D114:K114" si="13">SUM(D33,D74,D75,D102,D112,D113)</f>
        <v>668412</v>
      </c>
      <c r="E114" s="1691">
        <f t="shared" si="13"/>
        <v>414804</v>
      </c>
      <c r="F114" s="1691">
        <f t="shared" si="13"/>
        <v>135165</v>
      </c>
      <c r="G114" s="1691">
        <f t="shared" si="13"/>
        <v>26103</v>
      </c>
      <c r="H114" s="1691">
        <f>SUM(H33,H74,H75,H102,H112,H113)</f>
        <v>195124</v>
      </c>
      <c r="I114" s="1691">
        <f t="shared" si="13"/>
        <v>0</v>
      </c>
      <c r="J114" s="1691">
        <f t="shared" si="13"/>
        <v>0</v>
      </c>
      <c r="K114" s="1691">
        <f t="shared" si="13"/>
        <v>3839930</v>
      </c>
      <c r="L114" s="1691">
        <f>SUM(L33,L74,L75,L102,L112,L113)</f>
        <v>4037830</v>
      </c>
    </row>
    <row r="115" spans="1:14" ht="13.5" thickTop="1" x14ac:dyDescent="0.2">
      <c r="A115" s="2185" t="s">
        <v>1053</v>
      </c>
      <c r="B115" s="2186"/>
      <c r="C115" s="619"/>
      <c r="D115" s="619"/>
      <c r="E115" s="619"/>
      <c r="F115" s="619"/>
      <c r="G115" s="619"/>
      <c r="H115" s="619"/>
      <c r="I115" s="619"/>
      <c r="J115" s="619"/>
      <c r="K115" s="1705">
        <f>'Revenues 9-14'!C275-'Expenditures 15-22'!K114</f>
        <v>252181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95412</v>
      </c>
      <c r="D124" s="466">
        <v>39161</v>
      </c>
      <c r="E124" s="466">
        <v>153635</v>
      </c>
      <c r="F124" s="466">
        <v>34762</v>
      </c>
      <c r="G124" s="466">
        <v>18087</v>
      </c>
      <c r="H124" s="466"/>
      <c r="I124" s="467"/>
      <c r="J124" s="467"/>
      <c r="K124" s="1691">
        <f>SUM(C124:J124)</f>
        <v>341057</v>
      </c>
      <c r="L124" s="466">
        <v>409087</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95412</v>
      </c>
      <c r="D127" s="1691">
        <f t="shared" ref="D127:L127" si="14">SUM(D122:D126)</f>
        <v>39161</v>
      </c>
      <c r="E127" s="1691">
        <f t="shared" si="14"/>
        <v>153635</v>
      </c>
      <c r="F127" s="1691">
        <f t="shared" si="14"/>
        <v>34762</v>
      </c>
      <c r="G127" s="1691">
        <f t="shared" si="14"/>
        <v>18087</v>
      </c>
      <c r="H127" s="1691">
        <f t="shared" si="14"/>
        <v>0</v>
      </c>
      <c r="I127" s="1691">
        <f t="shared" si="14"/>
        <v>0</v>
      </c>
      <c r="J127" s="1691">
        <f t="shared" si="14"/>
        <v>0</v>
      </c>
      <c r="K127" s="1691">
        <f t="shared" si="14"/>
        <v>341057</v>
      </c>
      <c r="L127" s="1691">
        <f t="shared" si="14"/>
        <v>409087</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95412</v>
      </c>
      <c r="D129" s="1698">
        <f t="shared" ref="D129:L129" si="15">SUM(D120,D127,D128)</f>
        <v>39161</v>
      </c>
      <c r="E129" s="1698">
        <f t="shared" si="15"/>
        <v>153635</v>
      </c>
      <c r="F129" s="1698">
        <f t="shared" si="15"/>
        <v>34762</v>
      </c>
      <c r="G129" s="1698">
        <f t="shared" si="15"/>
        <v>18087</v>
      </c>
      <c r="H129" s="1698">
        <f t="shared" si="15"/>
        <v>0</v>
      </c>
      <c r="I129" s="1698">
        <f t="shared" si="15"/>
        <v>0</v>
      </c>
      <c r="J129" s="1698">
        <f t="shared" si="15"/>
        <v>0</v>
      </c>
      <c r="K129" s="1698">
        <f t="shared" si="15"/>
        <v>341057</v>
      </c>
      <c r="L129" s="1698">
        <f t="shared" si="15"/>
        <v>409087</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2" t="s">
        <v>641</v>
      </c>
      <c r="B151" s="2182"/>
      <c r="C151" s="1691">
        <f>SUM(C129,C130,C139,C149,C150)</f>
        <v>95412</v>
      </c>
      <c r="D151" s="1691">
        <f t="shared" ref="D151:K151" si="16">SUM(D129,D130,D139,D149,D150)</f>
        <v>39161</v>
      </c>
      <c r="E151" s="1691">
        <f t="shared" si="16"/>
        <v>153635</v>
      </c>
      <c r="F151" s="1691">
        <f t="shared" si="16"/>
        <v>34762</v>
      </c>
      <c r="G151" s="1691">
        <f t="shared" si="16"/>
        <v>18087</v>
      </c>
      <c r="H151" s="1691">
        <f t="shared" si="16"/>
        <v>0</v>
      </c>
      <c r="I151" s="1691">
        <f t="shared" si="16"/>
        <v>0</v>
      </c>
      <c r="J151" s="1691">
        <f t="shared" si="16"/>
        <v>0</v>
      </c>
      <c r="K151" s="1691">
        <f t="shared" si="16"/>
        <v>341057</v>
      </c>
      <c r="L151" s="1691">
        <f>SUM(L129,L130,L139,L149,L150)</f>
        <v>409087</v>
      </c>
    </row>
    <row r="152" spans="1:14" ht="12.75" customHeight="1" thickTop="1" x14ac:dyDescent="0.2">
      <c r="A152" s="2205" t="s">
        <v>1240</v>
      </c>
      <c r="B152" s="2206"/>
      <c r="C152" s="619"/>
      <c r="D152" s="619"/>
      <c r="E152" s="619"/>
      <c r="F152" s="619"/>
      <c r="G152" s="619"/>
      <c r="H152" s="619"/>
      <c r="I152" s="619"/>
      <c r="J152" s="617"/>
      <c r="K152" s="1705">
        <f>'Revenues 9-14'!D275-'Expenditures 15-22'!K151</f>
        <v>69989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84013</v>
      </c>
      <c r="I169" s="617"/>
      <c r="J169" s="617"/>
      <c r="K169" s="1692">
        <f>SUM(C169:H169)</f>
        <v>84013</v>
      </c>
      <c r="L169" s="657">
        <v>583750</v>
      </c>
    </row>
    <row r="170" spans="1:14" ht="33.75" customHeight="1" x14ac:dyDescent="0.2">
      <c r="A170" s="670" t="s">
        <v>1769</v>
      </c>
      <c r="B170" s="672" t="s">
        <v>31</v>
      </c>
      <c r="C170" s="617"/>
      <c r="D170" s="617"/>
      <c r="E170" s="617"/>
      <c r="F170" s="617"/>
      <c r="G170" s="617"/>
      <c r="H170" s="569">
        <v>524184</v>
      </c>
      <c r="I170" s="617"/>
      <c r="J170" s="617"/>
      <c r="K170" s="1692">
        <f>SUM(C170:J170)</f>
        <v>524184</v>
      </c>
      <c r="L170" s="569">
        <v>24447</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608197</v>
      </c>
      <c r="I172" s="639"/>
      <c r="J172" s="617"/>
      <c r="K172" s="1698">
        <f>SUM(K168,K169,K170,K171)</f>
        <v>608197</v>
      </c>
      <c r="L172" s="1698">
        <f>SUM(L168,L169,L170,L171)</f>
        <v>608197</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608197</v>
      </c>
      <c r="I174" s="639"/>
      <c r="J174" s="617"/>
      <c r="K174" s="1698">
        <f>SUM(K160,K172,K173)</f>
        <v>608197</v>
      </c>
      <c r="L174" s="1698">
        <f>SUM(L160,L172,L173)</f>
        <v>608197</v>
      </c>
    </row>
    <row r="175" spans="1:14" ht="13.5" thickTop="1" x14ac:dyDescent="0.2">
      <c r="A175" s="2185" t="s">
        <v>1053</v>
      </c>
      <c r="B175" s="2186"/>
      <c r="C175" s="617"/>
      <c r="D175" s="617"/>
      <c r="E175" s="617"/>
      <c r="F175" s="617"/>
      <c r="G175" s="617"/>
      <c r="H175" s="619"/>
      <c r="I175" s="617"/>
      <c r="J175" s="617"/>
      <c r="K175" s="1705">
        <f>'Revenues 9-14'!E275-'Expenditures 15-22'!K174</f>
        <v>-15436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v>350898</v>
      </c>
      <c r="F182" s="466">
        <v>27553</v>
      </c>
      <c r="G182" s="466"/>
      <c r="H182" s="466"/>
      <c r="I182" s="467"/>
      <c r="J182" s="467"/>
      <c r="K182" s="1692">
        <f>SUM(C182:J182)</f>
        <v>378451</v>
      </c>
      <c r="L182" s="466">
        <v>395799</v>
      </c>
    </row>
    <row r="183" spans="1:14" ht="12.75" customHeight="1" thickBot="1" x14ac:dyDescent="0.25">
      <c r="A183" s="1530" t="s">
        <v>1037</v>
      </c>
      <c r="B183" s="678">
        <v>2900</v>
      </c>
      <c r="C183" s="573">
        <v>7851</v>
      </c>
      <c r="D183" s="573">
        <v>1923</v>
      </c>
      <c r="E183" s="573"/>
      <c r="F183" s="573"/>
      <c r="G183" s="573"/>
      <c r="H183" s="573"/>
      <c r="I183" s="532"/>
      <c r="J183" s="532"/>
      <c r="K183" s="1698">
        <f>SUM(C183:J183)</f>
        <v>9774</v>
      </c>
      <c r="L183" s="573">
        <v>9776</v>
      </c>
    </row>
    <row r="184" spans="1:14" ht="12.75" customHeight="1" thickTop="1" thickBot="1" x14ac:dyDescent="0.25">
      <c r="A184" s="1712" t="s">
        <v>865</v>
      </c>
      <c r="B184" s="1690" t="s">
        <v>590</v>
      </c>
      <c r="C184" s="1698">
        <f>SUM(C180,C182,C183)</f>
        <v>7851</v>
      </c>
      <c r="D184" s="1698">
        <f t="shared" ref="D184:J184" si="17">SUM(D180,D182,D183)</f>
        <v>1923</v>
      </c>
      <c r="E184" s="1698">
        <f t="shared" si="17"/>
        <v>350898</v>
      </c>
      <c r="F184" s="1698">
        <f t="shared" si="17"/>
        <v>27553</v>
      </c>
      <c r="G184" s="1698">
        <f t="shared" si="17"/>
        <v>0</v>
      </c>
      <c r="H184" s="1698">
        <f t="shared" si="17"/>
        <v>0</v>
      </c>
      <c r="I184" s="1698">
        <f t="shared" si="17"/>
        <v>0</v>
      </c>
      <c r="J184" s="1698">
        <f t="shared" si="17"/>
        <v>0</v>
      </c>
      <c r="K184" s="1698">
        <f>SUM(K180,K182,K183)</f>
        <v>388225</v>
      </c>
      <c r="L184" s="1698">
        <f>SUM(L180, L182:L183)</f>
        <v>405575</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7851</v>
      </c>
      <c r="D210" s="1691">
        <f>SUM(D184,D185)</f>
        <v>1923</v>
      </c>
      <c r="E210" s="1691">
        <f>SUM(E184,E185,E196)</f>
        <v>350898</v>
      </c>
      <c r="F210" s="1691">
        <f>SUM(F184,F185)</f>
        <v>27553</v>
      </c>
      <c r="G210" s="1691">
        <f>SUM(G184,G185)</f>
        <v>0</v>
      </c>
      <c r="H210" s="1691">
        <f>SUM(H184,H185,H196,H208,H209)</f>
        <v>0</v>
      </c>
      <c r="I210" s="1691">
        <f>SUM(I184,I185)</f>
        <v>0</v>
      </c>
      <c r="J210" s="1691">
        <f>SUM(J184,J185)</f>
        <v>0</v>
      </c>
      <c r="K210" s="1692">
        <f>SUM(K184,K185,K196,K208,K209)</f>
        <v>388225</v>
      </c>
      <c r="L210" s="1691">
        <f>SUM(L184,L185,L196,L208,L209)</f>
        <v>405575</v>
      </c>
    </row>
    <row r="211" spans="1:14" ht="13.5" thickTop="1" x14ac:dyDescent="0.2">
      <c r="A211" s="2185" t="s">
        <v>1053</v>
      </c>
      <c r="B211" s="2186"/>
      <c r="C211" s="619"/>
      <c r="D211" s="619"/>
      <c r="E211" s="619"/>
      <c r="F211" s="619"/>
      <c r="G211" s="619"/>
      <c r="H211" s="619"/>
      <c r="I211" s="617"/>
      <c r="J211" s="617"/>
      <c r="K211" s="1705">
        <f>'Revenues 9-14'!F275-'Expenditures 15-22'!K210</f>
        <v>116567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39123</v>
      </c>
      <c r="E215" s="617"/>
      <c r="F215" s="617"/>
      <c r="G215" s="617"/>
      <c r="H215" s="617"/>
      <c r="I215" s="617"/>
      <c r="J215" s="617"/>
      <c r="K215" s="1692">
        <f>D215</f>
        <v>39123</v>
      </c>
      <c r="L215" s="466">
        <v>40901</v>
      </c>
    </row>
    <row r="216" spans="1:14" x14ac:dyDescent="0.2">
      <c r="A216" s="1525" t="s">
        <v>165</v>
      </c>
      <c r="B216" s="615" t="s">
        <v>1024</v>
      </c>
      <c r="C216" s="617"/>
      <c r="D216" s="467">
        <v>3785</v>
      </c>
      <c r="E216" s="617"/>
      <c r="F216" s="617"/>
      <c r="G216" s="617"/>
      <c r="H216" s="617"/>
      <c r="I216" s="617"/>
      <c r="J216" s="617"/>
      <c r="K216" s="1692">
        <f t="shared" ref="K216:K228" si="19">D216</f>
        <v>3785</v>
      </c>
      <c r="L216" s="466">
        <v>5986</v>
      </c>
    </row>
    <row r="217" spans="1:14" x14ac:dyDescent="0.2">
      <c r="A217" s="1525" t="s">
        <v>166</v>
      </c>
      <c r="B217" s="615">
        <v>1200</v>
      </c>
      <c r="C217" s="617"/>
      <c r="D217" s="466">
        <v>17592</v>
      </c>
      <c r="E217" s="617"/>
      <c r="F217" s="617"/>
      <c r="G217" s="617"/>
      <c r="H217" s="617"/>
      <c r="I217" s="617"/>
      <c r="J217" s="617"/>
      <c r="K217" s="1692">
        <f t="shared" si="19"/>
        <v>17592</v>
      </c>
      <c r="L217" s="466">
        <v>20172</v>
      </c>
    </row>
    <row r="218" spans="1:14" x14ac:dyDescent="0.2">
      <c r="A218" s="1525" t="s">
        <v>296</v>
      </c>
      <c r="B218" s="615" t="s">
        <v>1025</v>
      </c>
      <c r="C218" s="617"/>
      <c r="D218" s="467">
        <v>1640</v>
      </c>
      <c r="E218" s="617"/>
      <c r="F218" s="617"/>
      <c r="G218" s="617"/>
      <c r="H218" s="617"/>
      <c r="I218" s="617"/>
      <c r="J218" s="617"/>
      <c r="K218" s="1692">
        <f t="shared" si="19"/>
        <v>1640</v>
      </c>
      <c r="L218" s="466">
        <v>1641</v>
      </c>
    </row>
    <row r="219" spans="1:14" x14ac:dyDescent="0.2">
      <c r="A219" s="1525" t="s">
        <v>297</v>
      </c>
      <c r="B219" s="615">
        <v>1250</v>
      </c>
      <c r="C219" s="617"/>
      <c r="D219" s="466">
        <v>9103</v>
      </c>
      <c r="E219" s="617"/>
      <c r="F219" s="617"/>
      <c r="G219" s="617"/>
      <c r="H219" s="617"/>
      <c r="I219" s="617"/>
      <c r="J219" s="617"/>
      <c r="K219" s="1692">
        <f t="shared" si="19"/>
        <v>9103</v>
      </c>
      <c r="L219" s="466">
        <v>9105</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1305</v>
      </c>
      <c r="E222" s="617"/>
      <c r="F222" s="617"/>
      <c r="G222" s="617"/>
      <c r="H222" s="617"/>
      <c r="I222" s="617"/>
      <c r="J222" s="617"/>
      <c r="K222" s="1692">
        <f t="shared" si="19"/>
        <v>1305</v>
      </c>
      <c r="L222" s="466">
        <v>1367</v>
      </c>
    </row>
    <row r="223" spans="1:14" x14ac:dyDescent="0.2">
      <c r="A223" s="1525" t="s">
        <v>1020</v>
      </c>
      <c r="B223" s="615">
        <v>1500</v>
      </c>
      <c r="C223" s="617"/>
      <c r="D223" s="466">
        <v>3930</v>
      </c>
      <c r="E223" s="617"/>
      <c r="F223" s="617"/>
      <c r="G223" s="617"/>
      <c r="H223" s="617"/>
      <c r="I223" s="617"/>
      <c r="J223" s="617"/>
      <c r="K223" s="1692">
        <f t="shared" si="19"/>
        <v>3930</v>
      </c>
      <c r="L223" s="466">
        <v>4566</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346</v>
      </c>
      <c r="E226" s="617"/>
      <c r="F226" s="617"/>
      <c r="G226" s="617"/>
      <c r="H226" s="617"/>
      <c r="I226" s="617"/>
      <c r="J226" s="617"/>
      <c r="K226" s="1692">
        <f t="shared" si="19"/>
        <v>346</v>
      </c>
      <c r="L226" s="466">
        <v>350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76824</v>
      </c>
      <c r="E229" s="617"/>
      <c r="F229" s="617"/>
      <c r="G229" s="617"/>
      <c r="H229" s="617"/>
      <c r="I229" s="617"/>
      <c r="J229" s="617"/>
      <c r="K229" s="1691">
        <f>SUM(K215:K228)</f>
        <v>76824</v>
      </c>
      <c r="L229" s="1691">
        <f>SUM(L215:L228)</f>
        <v>84088</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724</v>
      </c>
      <c r="E233" s="617"/>
      <c r="F233" s="617"/>
      <c r="G233" s="617"/>
      <c r="H233" s="617"/>
      <c r="I233" s="617"/>
      <c r="J233" s="617"/>
      <c r="K233" s="1692">
        <f t="shared" si="20"/>
        <v>724</v>
      </c>
      <c r="L233" s="466">
        <v>733</v>
      </c>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v>22</v>
      </c>
      <c r="E237" s="617"/>
      <c r="F237" s="617"/>
      <c r="G237" s="617"/>
      <c r="H237" s="617"/>
      <c r="I237" s="617"/>
      <c r="J237" s="617"/>
      <c r="K237" s="1692">
        <f t="shared" si="20"/>
        <v>22</v>
      </c>
      <c r="L237" s="466">
        <v>35</v>
      </c>
    </row>
    <row r="238" spans="1:12" ht="12.75" customHeight="1" thickBot="1" x14ac:dyDescent="0.25">
      <c r="A238" s="1689" t="s">
        <v>581</v>
      </c>
      <c r="B238" s="1696" t="s">
        <v>740</v>
      </c>
      <c r="C238" s="617"/>
      <c r="D238" s="1691">
        <f>SUM(D232:D237)</f>
        <v>746</v>
      </c>
      <c r="E238" s="617"/>
      <c r="F238" s="617"/>
      <c r="G238" s="617"/>
      <c r="H238" s="617"/>
      <c r="I238" s="617"/>
      <c r="J238" s="617"/>
      <c r="K238" s="1691">
        <f>SUM(K232:K237)</f>
        <v>746</v>
      </c>
      <c r="L238" s="1691">
        <f>SUM(L232:L237)</f>
        <v>768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184</v>
      </c>
      <c r="E241" s="617"/>
      <c r="F241" s="617"/>
      <c r="G241" s="617"/>
      <c r="H241" s="617"/>
      <c r="I241" s="617"/>
      <c r="J241" s="617"/>
      <c r="K241" s="1693">
        <f>D241</f>
        <v>184</v>
      </c>
      <c r="L241" s="466">
        <v>442</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184</v>
      </c>
      <c r="E243" s="617"/>
      <c r="F243" s="617"/>
      <c r="G243" s="617"/>
      <c r="H243" s="617"/>
      <c r="I243" s="617"/>
      <c r="J243" s="617"/>
      <c r="K243" s="1691">
        <f>SUM(K240:K242)</f>
        <v>184</v>
      </c>
      <c r="L243" s="1691">
        <f>SUM(L240:L242)</f>
        <v>442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249</v>
      </c>
      <c r="E245" s="617"/>
      <c r="F245" s="617"/>
      <c r="G245" s="617"/>
      <c r="H245" s="617"/>
      <c r="I245" s="617"/>
      <c r="J245" s="617"/>
      <c r="K245" s="1693">
        <f>D245</f>
        <v>249</v>
      </c>
      <c r="L245" s="481">
        <v>251</v>
      </c>
    </row>
    <row r="246" spans="1:12" x14ac:dyDescent="0.2">
      <c r="A246" s="1525" t="s">
        <v>872</v>
      </c>
      <c r="B246" s="615">
        <v>2320</v>
      </c>
      <c r="C246" s="617"/>
      <c r="D246" s="466">
        <v>3755</v>
      </c>
      <c r="E246" s="617"/>
      <c r="F246" s="617"/>
      <c r="G246" s="617"/>
      <c r="H246" s="617"/>
      <c r="I246" s="617"/>
      <c r="J246" s="617"/>
      <c r="K246" s="1693">
        <f t="shared" ref="K246:K256" si="21">D246</f>
        <v>3755</v>
      </c>
      <c r="L246" s="466">
        <v>4069</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4004</v>
      </c>
      <c r="E257" s="617"/>
      <c r="F257" s="617"/>
      <c r="G257" s="617"/>
      <c r="H257" s="617"/>
      <c r="I257" s="617"/>
      <c r="J257" s="617"/>
      <c r="K257" s="1691">
        <f>SUM(K245:K256)</f>
        <v>4004</v>
      </c>
      <c r="L257" s="1691">
        <f>SUM(L245:L256)</f>
        <v>4320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16030</v>
      </c>
      <c r="E259" s="617"/>
      <c r="F259" s="617"/>
      <c r="G259" s="617"/>
      <c r="H259" s="617"/>
      <c r="I259" s="617"/>
      <c r="J259" s="617"/>
      <c r="K259" s="1693">
        <f>D259</f>
        <v>16030</v>
      </c>
      <c r="L259" s="481">
        <v>17051</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16030</v>
      </c>
      <c r="E261" s="617"/>
      <c r="F261" s="617"/>
      <c r="G261" s="617"/>
      <c r="H261" s="617"/>
      <c r="I261" s="617"/>
      <c r="J261" s="617"/>
      <c r="K261" s="1691">
        <f>SUM(K259:K260)</f>
        <v>16030</v>
      </c>
      <c r="L261" s="1691">
        <f>SUM(L259:L260)</f>
        <v>17051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7823</v>
      </c>
      <c r="E264" s="617"/>
      <c r="F264" s="617"/>
      <c r="G264" s="617"/>
      <c r="H264" s="617"/>
      <c r="I264" s="617"/>
      <c r="J264" s="617"/>
      <c r="K264" s="1693">
        <f t="shared" ref="K264:K269" si="22">D264</f>
        <v>7823</v>
      </c>
      <c r="L264" s="466">
        <v>8032</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32262</v>
      </c>
      <c r="E266" s="617"/>
      <c r="F266" s="617"/>
      <c r="G266" s="617"/>
      <c r="H266" s="617"/>
      <c r="I266" s="617"/>
      <c r="J266" s="617"/>
      <c r="K266" s="1693">
        <f t="shared" si="22"/>
        <v>32262</v>
      </c>
      <c r="L266" s="466">
        <v>32266</v>
      </c>
    </row>
    <row r="267" spans="1:14" x14ac:dyDescent="0.2">
      <c r="A267" s="1525" t="s">
        <v>1010</v>
      </c>
      <c r="B267" s="615">
        <v>2550</v>
      </c>
      <c r="C267" s="617"/>
      <c r="D267" s="466"/>
      <c r="E267" s="617"/>
      <c r="F267" s="617"/>
      <c r="G267" s="617"/>
      <c r="H267" s="617"/>
      <c r="I267" s="617"/>
      <c r="J267" s="617"/>
      <c r="K267" s="1693">
        <f t="shared" si="22"/>
        <v>0</v>
      </c>
      <c r="L267" s="466">
        <v>23</v>
      </c>
    </row>
    <row r="268" spans="1:14" x14ac:dyDescent="0.2">
      <c r="A268" s="1525" t="s">
        <v>102</v>
      </c>
      <c r="B268" s="615">
        <v>2560</v>
      </c>
      <c r="C268" s="617"/>
      <c r="D268" s="466">
        <v>10478</v>
      </c>
      <c r="E268" s="617"/>
      <c r="F268" s="617"/>
      <c r="G268" s="617"/>
      <c r="H268" s="617"/>
      <c r="I268" s="617"/>
      <c r="J268" s="617"/>
      <c r="K268" s="1693">
        <f t="shared" si="22"/>
        <v>10478</v>
      </c>
      <c r="L268" s="466">
        <v>11284</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50563</v>
      </c>
      <c r="E270" s="617"/>
      <c r="F270" s="617"/>
      <c r="G270" s="617"/>
      <c r="H270" s="617"/>
      <c r="I270" s="617"/>
      <c r="J270" s="617"/>
      <c r="K270" s="1691">
        <f>SUM(K263:K269)</f>
        <v>50563</v>
      </c>
      <c r="L270" s="1691">
        <f>SUM(L263:L269)</f>
        <v>51605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71527</v>
      </c>
      <c r="E279" s="617"/>
      <c r="F279" s="617"/>
      <c r="G279" s="617"/>
      <c r="H279" s="617"/>
      <c r="I279" s="617"/>
      <c r="J279" s="617"/>
      <c r="K279" s="1698">
        <f>SUM(K238,K243,K257,K261,K270,K277,K278)</f>
        <v>71527</v>
      </c>
      <c r="L279" s="1698">
        <f>SUM(L238,L243,L257,L261,L270,L277,L278)</f>
        <v>74186</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91">
        <f>SUM(D229,D279,D280,D285)</f>
        <v>148351</v>
      </c>
      <c r="E295" s="617"/>
      <c r="F295" s="617"/>
      <c r="G295" s="617"/>
      <c r="H295" s="1691">
        <f>H293</f>
        <v>0</v>
      </c>
      <c r="I295" s="617"/>
      <c r="J295" s="617"/>
      <c r="K295" s="1691">
        <f>SUM(K229,K279,K280,K285,K293,K294)</f>
        <v>148351</v>
      </c>
      <c r="L295" s="1691">
        <f>SUM(L229,L279,L280,L285,L293,L294)</f>
        <v>158274</v>
      </c>
    </row>
    <row r="296" spans="1:14" ht="13.5" thickTop="1" x14ac:dyDescent="0.2">
      <c r="A296" s="2185" t="s">
        <v>1053</v>
      </c>
      <c r="B296" s="2186"/>
      <c r="C296" s="617"/>
      <c r="D296" s="619"/>
      <c r="E296" s="617"/>
      <c r="F296" s="617"/>
      <c r="G296" s="617"/>
      <c r="H296" s="688"/>
      <c r="I296" s="617"/>
      <c r="J296" s="617"/>
      <c r="K296" s="1705">
        <f>'Revenues 9-14'!G275-'Expenditures 15-22'!K295</f>
        <v>-4655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615</v>
      </c>
      <c r="F301" s="466"/>
      <c r="G301" s="466">
        <v>180056</v>
      </c>
      <c r="H301" s="466"/>
      <c r="I301" s="467"/>
      <c r="J301" s="467"/>
      <c r="K301" s="1692">
        <f>SUM(C301:J301)</f>
        <v>180671</v>
      </c>
      <c r="L301" s="467">
        <v>261145</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615</v>
      </c>
      <c r="F303" s="1698">
        <f t="shared" si="23"/>
        <v>0</v>
      </c>
      <c r="G303" s="1698">
        <f t="shared" si="23"/>
        <v>180056</v>
      </c>
      <c r="H303" s="1698">
        <f t="shared" si="23"/>
        <v>0</v>
      </c>
      <c r="I303" s="1698">
        <f t="shared" si="23"/>
        <v>0</v>
      </c>
      <c r="J303" s="1698">
        <f t="shared" si="23"/>
        <v>0</v>
      </c>
      <c r="K303" s="1698">
        <f t="shared" si="23"/>
        <v>180671</v>
      </c>
      <c r="L303" s="1698">
        <f t="shared" si="23"/>
        <v>261145</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91">
        <f>SUM(C303)</f>
        <v>0</v>
      </c>
      <c r="D312" s="1691">
        <f>SUM(D303)</f>
        <v>0</v>
      </c>
      <c r="E312" s="1691">
        <f>SUM(E303,E310)</f>
        <v>615</v>
      </c>
      <c r="F312" s="1691">
        <f>SUM(F303)</f>
        <v>0</v>
      </c>
      <c r="G312" s="1691">
        <f>SUM(G303)</f>
        <v>180056</v>
      </c>
      <c r="H312" s="1691">
        <f>SUM(H303,H310)</f>
        <v>0</v>
      </c>
      <c r="I312" s="1691">
        <f>SUM(I303)</f>
        <v>0</v>
      </c>
      <c r="J312" s="1691">
        <f>SUM(J303)</f>
        <v>0</v>
      </c>
      <c r="K312" s="1691">
        <f>SUM(K303,K310,K311)</f>
        <v>180671</v>
      </c>
      <c r="L312" s="1691">
        <f>SUM(L303,L310,L311)</f>
        <v>261145</v>
      </c>
      <c r="M312" s="666"/>
      <c r="N312" s="666"/>
    </row>
    <row r="313" spans="1:14" ht="13.5" thickTop="1" x14ac:dyDescent="0.2">
      <c r="A313" s="2196" t="s">
        <v>1053</v>
      </c>
      <c r="B313" s="2197"/>
      <c r="C313" s="627"/>
      <c r="D313" s="627"/>
      <c r="E313" s="627"/>
      <c r="F313" s="627"/>
      <c r="G313" s="627"/>
      <c r="H313" s="627"/>
      <c r="I313" s="627"/>
      <c r="J313" s="627"/>
      <c r="K313" s="1706">
        <f>'Revenues 9-14'!H275-'Expenditures 15-22'!K312</f>
        <v>62291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v>692</v>
      </c>
      <c r="F321" s="467"/>
      <c r="G321" s="467"/>
      <c r="H321" s="467"/>
      <c r="I321" s="467"/>
      <c r="J321" s="467"/>
      <c r="K321" s="1692">
        <f t="shared" si="24"/>
        <v>692</v>
      </c>
      <c r="L321" s="467">
        <v>692</v>
      </c>
      <c r="M321" s="666"/>
      <c r="N321" s="666"/>
    </row>
    <row r="322" spans="1:14" s="675" customFormat="1" x14ac:dyDescent="0.2">
      <c r="A322" s="1540" t="s">
        <v>256</v>
      </c>
      <c r="B322" s="698" t="s">
        <v>302</v>
      </c>
      <c r="C322" s="467"/>
      <c r="D322" s="467"/>
      <c r="E322" s="467">
        <v>38118</v>
      </c>
      <c r="F322" s="467"/>
      <c r="G322" s="467"/>
      <c r="H322" s="467"/>
      <c r="I322" s="467"/>
      <c r="J322" s="467"/>
      <c r="K322" s="1692">
        <f t="shared" si="24"/>
        <v>38118</v>
      </c>
      <c r="L322" s="467">
        <v>43239</v>
      </c>
      <c r="M322" s="666"/>
      <c r="N322" s="666"/>
    </row>
    <row r="323" spans="1:14" s="675" customFormat="1" x14ac:dyDescent="0.2">
      <c r="A323" s="1540" t="s">
        <v>726</v>
      </c>
      <c r="B323" s="698" t="s">
        <v>303</v>
      </c>
      <c r="C323" s="467"/>
      <c r="D323" s="467"/>
      <c r="E323" s="467">
        <v>1000</v>
      </c>
      <c r="F323" s="467"/>
      <c r="G323" s="467"/>
      <c r="H323" s="467"/>
      <c r="I323" s="467"/>
      <c r="J323" s="467"/>
      <c r="K323" s="1692">
        <f t="shared" si="24"/>
        <v>1000</v>
      </c>
      <c r="L323" s="467">
        <v>1000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105175</v>
      </c>
      <c r="D325" s="467"/>
      <c r="E325" s="467"/>
      <c r="F325" s="467"/>
      <c r="G325" s="467"/>
      <c r="H325" s="467"/>
      <c r="I325" s="467"/>
      <c r="J325" s="467"/>
      <c r="K325" s="1692">
        <f t="shared" si="24"/>
        <v>105175</v>
      </c>
      <c r="L325" s="467">
        <v>105175</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1592</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105175</v>
      </c>
      <c r="D330" s="1691">
        <f t="shared" ref="D330:J330" si="25">SUM(D319:D329)</f>
        <v>0</v>
      </c>
      <c r="E330" s="1691">
        <f t="shared" si="25"/>
        <v>39810</v>
      </c>
      <c r="F330" s="1691">
        <f t="shared" si="25"/>
        <v>0</v>
      </c>
      <c r="G330" s="1691">
        <f t="shared" si="25"/>
        <v>0</v>
      </c>
      <c r="H330" s="1691">
        <f t="shared" si="25"/>
        <v>0</v>
      </c>
      <c r="I330" s="1691">
        <f t="shared" si="25"/>
        <v>0</v>
      </c>
      <c r="J330" s="1691">
        <f t="shared" si="25"/>
        <v>0</v>
      </c>
      <c r="K330" s="1691">
        <f>SUM(K319:K329)</f>
        <v>144985</v>
      </c>
      <c r="L330" s="1691">
        <f>SUM(L319:L329)</f>
        <v>151698</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105175</v>
      </c>
      <c r="D342" s="1691">
        <f>SUM(D330)</f>
        <v>0</v>
      </c>
      <c r="E342" s="1691">
        <f>SUM(E330)</f>
        <v>39810</v>
      </c>
      <c r="F342" s="1691">
        <f>SUM(F330)</f>
        <v>0</v>
      </c>
      <c r="G342" s="1691">
        <f>SUM(G330)</f>
        <v>0</v>
      </c>
      <c r="H342" s="1691">
        <f>SUM(H330,H334,H340)</f>
        <v>0</v>
      </c>
      <c r="I342" s="1691">
        <f>SUM(I330)</f>
        <v>0</v>
      </c>
      <c r="J342" s="1691">
        <f>SUM(J330)</f>
        <v>0</v>
      </c>
      <c r="K342" s="1691">
        <f>SUM(K330,K334,K340)</f>
        <v>144985</v>
      </c>
      <c r="L342" s="1698">
        <f>SUM(L330,L340,L341)</f>
        <v>151698</v>
      </c>
    </row>
    <row r="343" spans="1:14" ht="12.75" customHeight="1" thickTop="1" x14ac:dyDescent="0.2">
      <c r="A343" s="2198" t="s">
        <v>1053</v>
      </c>
      <c r="B343" s="2199"/>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v>9255</v>
      </c>
      <c r="H348" s="466"/>
      <c r="I348" s="467"/>
      <c r="J348" s="467"/>
      <c r="K348" s="1692">
        <f>SUM(C348:J348)</f>
        <v>9255</v>
      </c>
      <c r="L348" s="466">
        <v>9300</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9255</v>
      </c>
      <c r="H350" s="1691">
        <f t="shared" si="26"/>
        <v>0</v>
      </c>
      <c r="I350" s="1691">
        <f t="shared" si="26"/>
        <v>0</v>
      </c>
      <c r="J350" s="1691">
        <f t="shared" si="26"/>
        <v>0</v>
      </c>
      <c r="K350" s="1691">
        <f t="shared" si="26"/>
        <v>9255</v>
      </c>
      <c r="L350" s="1691">
        <f t="shared" si="26"/>
        <v>9300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9255</v>
      </c>
      <c r="H352" s="1691">
        <f t="shared" si="27"/>
        <v>0</v>
      </c>
      <c r="I352" s="1691">
        <f t="shared" si="27"/>
        <v>0</v>
      </c>
      <c r="J352" s="1691">
        <f t="shared" si="27"/>
        <v>0</v>
      </c>
      <c r="K352" s="1691">
        <f t="shared" si="27"/>
        <v>9255</v>
      </c>
      <c r="L352" s="1691">
        <f t="shared" si="27"/>
        <v>9300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9255</v>
      </c>
      <c r="H367" s="1691">
        <f t="shared" si="28"/>
        <v>0</v>
      </c>
      <c r="I367" s="1691">
        <f t="shared" si="28"/>
        <v>0</v>
      </c>
      <c r="J367" s="1691">
        <f t="shared" si="28"/>
        <v>0</v>
      </c>
      <c r="K367" s="1691">
        <f t="shared" si="28"/>
        <v>9255</v>
      </c>
      <c r="L367" s="1691">
        <f t="shared" si="28"/>
        <v>9300</v>
      </c>
    </row>
    <row r="368" spans="1:14" ht="13.5" thickTop="1" x14ac:dyDescent="0.2">
      <c r="A368" s="2185" t="s">
        <v>1053</v>
      </c>
      <c r="B368" s="2186"/>
      <c r="C368" s="655"/>
      <c r="D368" s="655"/>
      <c r="E368" s="627"/>
      <c r="F368" s="627"/>
      <c r="G368" s="627"/>
      <c r="H368" s="627"/>
      <c r="I368" s="627"/>
      <c r="J368" s="624"/>
      <c r="K368" s="1692">
        <f>'Revenues 9-14'!K275-'Expenditures 15-22'!K367</f>
        <v>13151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sharepoint/v3"/>
    <ds:schemaRef ds:uri="http://schemas.microsoft.com/office/2006/documentManagement/types"/>
    <ds:schemaRef ds:uri="http://schemas.microsoft.com/office/infopath/2007/PartnerControls"/>
    <ds:schemaRef ds:uri="6ce3111e-7420-4802-b50a-75d4e9a0b980"/>
    <ds:schemaRef ds:uri="http://schemas.openxmlformats.org/package/2006/metadata/core-properties"/>
    <ds:schemaRef ds:uri="http://www.w3.org/XML/1998/namespace"/>
    <ds:schemaRef ds:uri="4d435f69-8686-490b-bd6d-b153bf22ab50"/>
    <ds:schemaRef ds:uri="http://purl.org/dc/terms/"/>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'Itemization 33'!Print_Area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2018-11-12T14:55:28Z</cp:lastPrinted>
  <dcterms:created xsi:type="dcterms:W3CDTF">2003-10-29T19:06:34Z</dcterms:created>
  <dcterms:modified xsi:type="dcterms:W3CDTF">2018-11-27T15:31:27Z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Warren CUSD #205</vt:lpwstr>
  </property>
  <property fmtid="{D5CDD505-2E9C-101B-9397-08002B2CF9AE}" pid="6" name="PPC_Template_Engagement_Date">
    <vt:lpwstr>6/30/2018</vt:lpwstr>
  </property>
</Properties>
</file>