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6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 SEFA (4)" sheetId="185" r:id="rId32"/>
    <sheet name="SF&amp;QC Sec-1" sheetId="174" r:id="rId33"/>
    <sheet name="SF&amp;QC Sec-2" sheetId="175" r:id="rId34"/>
    <sheet name="SF&amp;QC Sec-3" sheetId="176" r:id="rId35"/>
    <sheet name="SF&amp;QC Sec-3 (2)" sheetId="186" r:id="rId36"/>
    <sheet name="SSPAF" sheetId="177" r:id="rId37"/>
  </sheets>
  <definedNames>
    <definedName name="_xlnm.Print_Area" localSheetId="28">' SEFA'!$B$1:$M$45</definedName>
    <definedName name="_xlnm.Print_Area" localSheetId="29">' SEFA (2)'!$B$1:$M$44</definedName>
    <definedName name="_xlnm.Print_Area" localSheetId="30">' SEFA (3)'!$B$1:$M$45</definedName>
    <definedName name="_xlnm.Print_Area" localSheetId="31">' SEFA (4)'!$B$1:$M$45</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35">'SF&amp;QC Sec-3 (2)'!$A$1:$K$52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G28" i="127" l="1"/>
  <c r="G18" i="127"/>
  <c r="G12" i="127" l="1"/>
  <c r="B4" i="186" l="1"/>
  <c r="K15" i="184" l="1"/>
  <c r="J15" i="184"/>
  <c r="I15" i="184"/>
  <c r="H15" i="184"/>
  <c r="G15" i="184"/>
  <c r="F15" i="184"/>
  <c r="E15" i="184"/>
  <c r="K12" i="185"/>
  <c r="J12" i="185"/>
  <c r="I12" i="185"/>
  <c r="H12" i="185"/>
  <c r="G12" i="185"/>
  <c r="F12" i="185"/>
  <c r="E12" i="185"/>
  <c r="L11" i="184"/>
  <c r="E18" i="184"/>
  <c r="F18" i="184"/>
  <c r="G18" i="184"/>
  <c r="H18" i="184"/>
  <c r="I18" i="184"/>
  <c r="J18" i="184"/>
  <c r="K18" i="184"/>
  <c r="E21" i="184"/>
  <c r="F21" i="184"/>
  <c r="G21" i="184"/>
  <c r="H21" i="184"/>
  <c r="I21" i="184"/>
  <c r="J21" i="184"/>
  <c r="K21" i="184"/>
  <c r="E21" i="183"/>
  <c r="K21" i="183"/>
  <c r="J21" i="183"/>
  <c r="I21" i="183"/>
  <c r="H21" i="183"/>
  <c r="G21" i="183"/>
  <c r="F21" i="183"/>
  <c r="K17" i="183" l="1"/>
  <c r="K22" i="184" s="1"/>
  <c r="J17" i="183"/>
  <c r="I17" i="183"/>
  <c r="I22" i="184" s="1"/>
  <c r="H17" i="183"/>
  <c r="G17" i="183"/>
  <c r="G22" i="184" s="1"/>
  <c r="F17" i="183"/>
  <c r="F22" i="184" s="1"/>
  <c r="E17" i="183"/>
  <c r="E22" i="184" s="1"/>
  <c r="K26" i="179"/>
  <c r="K27" i="179" s="1"/>
  <c r="J26" i="179"/>
  <c r="J27" i="179" s="1"/>
  <c r="I26" i="179"/>
  <c r="H26" i="179"/>
  <c r="H27" i="179" s="1"/>
  <c r="G26" i="179"/>
  <c r="G27" i="179" s="1"/>
  <c r="F26" i="179"/>
  <c r="E26" i="179"/>
  <c r="E27" i="179" s="1"/>
  <c r="K24" i="179"/>
  <c r="J24" i="179"/>
  <c r="I24" i="179"/>
  <c r="H24" i="179"/>
  <c r="G24" i="179"/>
  <c r="F24" i="179"/>
  <c r="E24" i="179"/>
  <c r="K20" i="179"/>
  <c r="J20" i="179"/>
  <c r="I20" i="179"/>
  <c r="I27" i="179" s="1"/>
  <c r="H20" i="179"/>
  <c r="G20" i="179"/>
  <c r="F20" i="179"/>
  <c r="F27" i="179" s="1"/>
  <c r="E20" i="179"/>
  <c r="L26" i="185"/>
  <c r="L25" i="185"/>
  <c r="L24" i="185"/>
  <c r="L23" i="185"/>
  <c r="L22" i="185"/>
  <c r="L21" i="185"/>
  <c r="L20" i="185"/>
  <c r="L19" i="185"/>
  <c r="L18" i="185"/>
  <c r="L17" i="185"/>
  <c r="L16" i="185"/>
  <c r="L15" i="185"/>
  <c r="L14" i="185"/>
  <c r="L13" i="185"/>
  <c r="L12" i="185"/>
  <c r="L11" i="185"/>
  <c r="B4" i="185"/>
  <c r="L27" i="184"/>
  <c r="L26" i="184"/>
  <c r="L21" i="184"/>
  <c r="L20" i="184"/>
  <c r="L19" i="184"/>
  <c r="L18" i="184"/>
  <c r="L17" i="184"/>
  <c r="L16" i="184"/>
  <c r="L15" i="184"/>
  <c r="L14" i="184"/>
  <c r="L13" i="184"/>
  <c r="L12" i="184"/>
  <c r="B4" i="184"/>
  <c r="L26" i="183"/>
  <c r="L25" i="183"/>
  <c r="L24" i="183"/>
  <c r="L23" i="183"/>
  <c r="L22" i="183"/>
  <c r="L21" i="183"/>
  <c r="L20" i="183"/>
  <c r="L19" i="183"/>
  <c r="L18" i="183"/>
  <c r="L16" i="183"/>
  <c r="L15" i="183"/>
  <c r="L14" i="183"/>
  <c r="L13" i="183"/>
  <c r="L12" i="183"/>
  <c r="L11" i="183"/>
  <c r="B4" i="183"/>
  <c r="K27" i="185" l="1"/>
  <c r="J22" i="184"/>
  <c r="J27" i="185" s="1"/>
  <c r="E27" i="185"/>
  <c r="H22" i="184"/>
  <c r="H27" i="185" s="1"/>
  <c r="I27" i="185"/>
  <c r="F27" i="185"/>
  <c r="G27" i="185"/>
  <c r="L27" i="185" s="1"/>
  <c r="L22" i="184"/>
  <c r="L17" i="183"/>
  <c r="C12" i="11"/>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4"/>
  <c r="B1" i="183"/>
  <c r="B1" i="185"/>
  <c r="B2" i="179"/>
  <c r="B2" i="186"/>
  <c r="B2" i="185"/>
  <c r="B2" i="183"/>
  <c r="B2" i="184"/>
  <c r="A2" i="170"/>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c r="B5118" i="106"/>
  <c r="D5118" i="106"/>
  <c r="B5119" i="106"/>
  <c r="D5119" i="106" s="1"/>
  <c r="B5122" i="106"/>
  <c r="D5122" i="106" s="1"/>
  <c r="B5123" i="106"/>
  <c r="D5123" i="106"/>
  <c r="B5124" i="106"/>
  <c r="D5124" i="106"/>
  <c r="B5126" i="106"/>
  <c r="D5126" i="106" s="1"/>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6" i="127"/>
  <c r="B67"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13" i="7"/>
  <c r="B3726" i="106" s="1"/>
  <c r="D3726" i="106" s="1"/>
  <c r="D9" i="7"/>
  <c r="B1767" i="106" s="1"/>
  <c r="D1767" i="106" s="1"/>
  <c r="F131" i="34"/>
  <c r="F128" i="34"/>
  <c r="F111" i="34"/>
  <c r="B5847" i="106"/>
  <c r="D5847" i="106" s="1"/>
  <c r="B5752" i="106"/>
  <c r="D5752" i="106" s="1"/>
  <c r="B5599" i="106"/>
  <c r="D5599" i="106" s="1"/>
  <c r="K274" i="5"/>
  <c r="H109" i="5"/>
  <c r="B6025" i="106" s="1"/>
  <c r="D6025" i="106" s="1"/>
  <c r="D109" i="5"/>
  <c r="B5356" i="106" s="1"/>
  <c r="D5356" i="106" s="1"/>
  <c r="F106" i="34"/>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H173" i="5"/>
  <c r="F127" i="34"/>
  <c r="F130" i="34"/>
  <c r="F136" i="34"/>
  <c r="G5" i="4"/>
  <c r="B3409" i="106" s="1"/>
  <c r="D3409" i="106" s="1"/>
  <c r="I274" i="5"/>
  <c r="L312" i="29"/>
  <c r="B7235" i="106"/>
  <c r="D7235" i="106" s="1"/>
  <c r="D6103" i="106"/>
  <c r="G352" i="29"/>
  <c r="C352" i="29"/>
  <c r="K41" i="3"/>
  <c r="B3568" i="106" s="1"/>
  <c r="D3568" i="106" s="1"/>
  <c r="L15" i="11"/>
  <c r="B3459" i="106" s="1"/>
  <c r="D3459" i="106" s="1"/>
  <c r="H76" i="4"/>
  <c r="B3298" i="106" s="1"/>
  <c r="D3298" i="106" s="1"/>
  <c r="E174" i="29"/>
  <c r="B1309" i="106" s="1"/>
  <c r="D1309" i="106" s="1"/>
  <c r="K24" i="12"/>
  <c r="F19" i="7"/>
  <c r="B1807" i="106" s="1"/>
  <c r="D1807" i="106" s="1"/>
  <c r="K350" i="29"/>
  <c r="C342" i="29"/>
  <c r="B7216" i="106" s="1"/>
  <c r="D7216" i="106" s="1"/>
  <c r="H4" i="4"/>
  <c r="B2655" i="106" s="1"/>
  <c r="D2655" i="106" s="1"/>
  <c r="B1410" i="106"/>
  <c r="D1410" i="106" s="1"/>
  <c r="G4" i="4"/>
  <c r="B2603" i="106" s="1"/>
  <c r="D2603" i="106" s="1"/>
  <c r="G210" i="29"/>
  <c r="D7" i="7"/>
  <c r="B1763" i="106" s="1"/>
  <c r="D1763" i="106" s="1"/>
  <c r="B1329" i="106"/>
  <c r="D1329" i="106" s="1"/>
  <c r="F61" i="34"/>
  <c r="E109" i="5"/>
  <c r="E4" i="4" s="1"/>
  <c r="B2630" i="106" s="1"/>
  <c r="D2630" i="106" s="1"/>
  <c r="D52" i="36"/>
  <c r="D4" i="4"/>
  <c r="B2564" i="106" s="1"/>
  <c r="D2564" i="106" s="1"/>
  <c r="D5" i="7"/>
  <c r="B1761" i="106" s="1"/>
  <c r="D1761" i="106" s="1"/>
  <c r="C172" i="5"/>
  <c r="B5096" i="106"/>
  <c r="D5096" i="106" s="1"/>
  <c r="C109" i="5"/>
  <c r="B5121" i="106" s="1"/>
  <c r="D5121" i="106" s="1"/>
  <c r="L13" i="11"/>
  <c r="B2060" i="106" s="1"/>
  <c r="D2060" i="106" s="1"/>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7733" i="106" l="1"/>
  <c r="D7733" i="106" s="1"/>
  <c r="K26" i="12"/>
  <c r="B7743" i="106" s="1"/>
  <c r="D7743" i="106" s="1"/>
  <c r="B3649" i="106"/>
  <c r="D3649" i="106" s="1"/>
  <c r="G367" i="29"/>
  <c r="B3650" i="106" s="1"/>
  <c r="D3650" i="106" s="1"/>
  <c r="D7255" i="106"/>
  <c r="D7253" i="106"/>
  <c r="D7252" i="106"/>
  <c r="H367" i="29"/>
  <c r="B3660" i="106" s="1"/>
  <c r="D3660" i="106" s="1"/>
  <c r="B3621" i="106"/>
  <c r="D3621" i="106" s="1"/>
  <c r="C367" i="29"/>
  <c r="B3622" i="106" s="1"/>
  <c r="D3622" i="106" s="1"/>
  <c r="B5906" i="106"/>
  <c r="D5906" i="106" s="1"/>
  <c r="H6" i="4"/>
  <c r="B1317" i="106"/>
  <c r="D1317" i="106" s="1"/>
  <c r="F275" i="5"/>
  <c r="B3670" i="106"/>
  <c r="D3670" i="106" s="1"/>
  <c r="K352" i="29"/>
  <c r="K367" i="29" s="1"/>
  <c r="K342" i="29"/>
  <c r="F13" i="34" s="1"/>
  <c r="B1365" i="106"/>
  <c r="D1365" i="106" s="1"/>
  <c r="F65" i="34"/>
  <c r="C114" i="29"/>
  <c r="B757" i="106" s="1"/>
  <c r="D757" i="106" s="1"/>
  <c r="D44" i="36"/>
  <c r="B5214" i="106"/>
  <c r="D5214" i="106" s="1"/>
  <c r="C173" i="5"/>
  <c r="C4" i="4"/>
  <c r="B2551" i="106" s="1"/>
  <c r="D2551" i="106" s="1"/>
  <c r="L16" i="11"/>
  <c r="B2061" i="106" s="1"/>
  <c r="D206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J17" i="4"/>
  <c r="B1145" i="106"/>
  <c r="D1145"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<sst xmlns="http://schemas.openxmlformats.org/spreadsheetml/2006/main" count="5509" uniqueCount="2250">
  <si>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</si>
  <si>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</si>
  <si>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</si>
  <si>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</si>
  <si>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</si>
  <si>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</si>
  <si>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</si>
  <si>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</si>
  <si>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</si>
  <si>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</si>
  <si>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</si>
  <si>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</si>
  <si>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</si>
  <si>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</si>
  <si>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</si>
  <si>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</si>
  <si>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</si>
  <si>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</si>
  <si>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</si>
  <si>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</si>
  <si>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</si>
  <si>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</si>
  <si>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</si>
  <si>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</si>
  <si>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</si>
  <si>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</si>
  <si>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</si>
  <si>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</si>
  <si>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</si>
  <si>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</si>
  <si>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</si>
  <si>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</si>
  <si>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</si>
  <si>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</si>
  <si>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</si>
  <si>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</si>
  <si>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</si>
  <si>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</si>
  <si>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</si>
  <si>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</si>
  <si>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</si>
  <si>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</si>
  <si>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</si>
  <si>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</si>
  <si>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</si>
  <si>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</si>
  <si>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</si>
  <si>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</si>
  <si>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</si>
  <si>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</si>
  <si>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</si>
  <si>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</si>
  <si>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</si>
  <si>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</si>
  <si>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</si>
  <si>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</si>
  <si>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</si>
  <si>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</si>
  <si>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</si>
  <si>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</si>
  <si>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</si>
  <si>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</si>
  <si>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</si>
  <si>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</si>
  <si>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</si>
  <si>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</si>
  <si>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</si>
  <si>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</si>
  <si>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</si>
  <si>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</si>
  <si>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</si>
  <si>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</si>
  <si>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</si>
  <si>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</si>
  <si>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</si>
  <si>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</si>
  <si>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</si>
  <si>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</si>
  <si>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</si>
  <si>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</si>
  <si>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</si>
  <si>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</si>
  <si>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</si>
  <si>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</si>
  <si>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</si>
  <si>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</si>
  <si>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</si>
  <si>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</si>
  <si>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</si>
  <si>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</si>
  <si>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</si>
  <si>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</si>
  <si>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</si>
  <si>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</si>
  <si>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</si>
  <si>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</si>
  <si>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</si>
  <si>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</si>
  <si>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</si>
  <si>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</si>
  <si>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</si>
  <si>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</si>
  <si>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</si>
  <si>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</si>
  <si>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</si>
  <si>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</si>
  <si>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</si>
  <si>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</si>
  <si>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</si>
  <si>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</si>
  <si>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</si>
  <si>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</si>
  <si>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</si>
  <si>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</si>
  <si>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</si>
  <si>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</si>
  <si>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</si>
  <si>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</si>
  <si>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</si>
  <si>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</si>
  <si>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</si>
  <si>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</si>
  <si>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</si>
  <si>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</si>
  <si>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</si>
  <si>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</si>
  <si>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</si>
  <si>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</si>
  <si>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</si>
  <si>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</si>
  <si>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</si>
  <si>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</si>
  <si>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</si>
  <si>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</si>
  <si>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</si>
  <si>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</si>
  <si>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</si>
  <si>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</si>
  <si>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</si>
  <si>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</si>
  <si>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</si>
  <si>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</si>
  <si>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</si>
  <si>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</si>
  <si>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</si>
  <si>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</si>
  <si>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</si>
  <si>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</si>
  <si>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</si>
  <si>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</si>
  <si>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</si>
  <si>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</si>
  <si>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</si>
  <si>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</si>
  <si>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</si>
  <si>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</si>
  <si>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</si>
  <si>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</si>
  <si>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</si>
  <si>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</si>
  <si>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</si>
  <si>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</si>
  <si>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</si>
  <si>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</si>
  <si>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</si>
  <si>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</si>
  <si>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</si>
  <si>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</si>
  <si>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</si>
  <si>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</si>
  <si>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</si>
  <si>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</si>
  <si>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</si>
  <si>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</si>
  <si>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</si>
  <si>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</si>
  <si>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</si>
  <si>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</si>
  <si>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</si>
  <si>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</si>
  <si>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</si>
  <si>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</si>
  <si>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</si>
  <si>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</si>
  <si>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</si>
  <si>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</si>
  <si>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</si>
  <si>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</si>
  <si>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</si>
  <si>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</si>
  <si>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</si>
  <si>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</si>
  <si>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</si>
  <si>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</si>
  <si>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</si>
  <si>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</si>
  <si>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</si>
  <si>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</si>
  <si>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</si>
  <si>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</si>
  <si>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</si>
  <si>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</si>
  <si>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</si>
  <si>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</si>
  <si>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</si>
  <si>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</si>
  <si>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</si>
  <si>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</si>
  <si>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</si>
  <si>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</si>
  <si>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</si>
  <si>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</si>
  <si>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</si>
  <si>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</si>
  <si>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</si>
  <si>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</si>
  <si>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</si>
  <si>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</si>
  <si>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</si>
  <si>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</si>
  <si>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</si>
  <si>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</si>
  <si>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</si>
  <si>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</si>
  <si>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</si>
  <si>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</si>
  <si>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</si>
  <si>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</si>
  <si>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</si>
  <si>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</si>
  <si>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</si>
  <si>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</si>
  <si>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</si>
  <si>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</si>
  <si>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</si>
  <si>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</si>
  <si>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</si>
  <si>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</si>
  <si>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</si>
  <si>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</si>
  <si>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</si>
  <si>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</si>
  <si>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</si>
  <si>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</si>
  <si>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</si>
  <si>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</si>
  <si>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</si>
  <si>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</si>
  <si>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</si>
  <si>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</si>
  <si>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</si>
  <si>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</si>
  <si>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</si>
  <si>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</si>
  <si>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</si>
  <si>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</si>
  <si>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</si>
  <si>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</si>
  <si>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</si>
  <si>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</si>
  <si>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</si>
  <si>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</si>
  <si>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</si>
  <si>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</si>
  <si>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</si>
  <si>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</si>
  <si>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</si>
  <si>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</si>
  <si>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</si>
  <si>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</si>
  <si>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</si>
  <si>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</si>
  <si>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</si>
  <si>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</si>
  <si>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</si>
  <si>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</si>
  <si>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</si>
  <si>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</si>
  <si>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</si>
  <si>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</si>
  <si>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</si>
  <si>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</si>
  <si>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</si>
  <si>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</si>
  <si>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</si>
  <si>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</si>
  <si>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</si>
  <si>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</si>
  <si>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</si>
  <si>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</si>
  <si>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</si>
  <si>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</si>
  <si>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</si>
  <si>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</si>
  <si>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</si>
  <si>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</si>
  <si>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</si>
  <si>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</si>
  <si>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</si>
  <si>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</si>
  <si>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</si>
  <si>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</si>
  <si>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</si>
  <si>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</si>
  <si>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</si>
  <si>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</si>
  <si>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</si>
  <si>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</si>
  <si>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</si>
  <si>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</si>
  <si>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</si>
  <si>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</si>
  <si>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</si>
  <si>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</si>
  <si>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</si>
  <si>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</si>
  <si>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</si>
  <si>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</si>
  <si>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</si>
  <si>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</si>
  <si>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</si>
  <si>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</si>
  <si>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</si>
  <si>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</si>
  <si>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</si>
  <si>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</si>
  <si>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</si>
  <si>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</si>
  <si>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</si>
  <si>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</si>
  <si>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</si>
  <si>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</si>
  <si>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</si>
  <si>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</si>
  <si>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</si>
  <si>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</si>
  <si>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</si>
  <si>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</si>
  <si>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</si>
  <si>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</si>
  <si>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</si>
  <si>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</si>
  <si>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</si>
  <si>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</si>
  <si>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</si>
  <si>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</si>
  <si>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</si>
  <si>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</si>
  <si>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</si>
  <si>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</si>
  <si>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</si>
  <si>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</si>
  <si>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</si>
  <si>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</si>
  <si>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</si>
  <si>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</si>
  <si>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</si>
  <si>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</si>
  <si>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</si>
  <si>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</si>
  <si>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</si>
  <si>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</si>
  <si>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</si>
  <si>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</si>
  <si>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</si>
  <si>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</si>
  <si>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</si>
  <si>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</si>
  <si>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</si>
  <si>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</si>
  <si>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</si>
  <si>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</si>
  <si>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</si>
  <si>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</si>
  <si>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</si>
  <si>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</si>
  <si>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</si>
  <si>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</si>
  <si>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</si>
  <si>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</si>
  <si>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</si>
  <si>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</si>
  <si>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</si>
  <si>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</si>
  <si>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</si>
  <si>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</si>
  <si>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</si>
  <si>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</si>
  <si>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</si>
  <si>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</si>
  <si>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</si>
  <si>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</si>
  <si>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</si>
  <si>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</si>
  <si>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</si>
  <si>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</si>
  <si>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</si>
  <si>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</si>
  <si>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</si>
  <si>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</si>
  <si>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</si>
  <si>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</si>
  <si>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</si>
  <si>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</si>
  <si>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</si>
  <si>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</si>
  <si>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</si>
  <si>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</si>
  <si>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</si>
  <si>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</si>
  <si>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</si>
  <si>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</si>
  <si>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</si>
  <si>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</si>
  <si>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</si>
  <si>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</si>
  <si>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</si>
  <si>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</si>
  <si>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</si>
  <si>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</si>
  <si>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</si>
  <si>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</si>
  <si>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</si>
  <si>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</si>
  <si>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</si>
  <si>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</si>
  <si>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</si>
  <si>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</si>
  <si>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</si>
  <si>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</si>
  <si>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</si>
  <si>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</si>
  <si>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</si>
  <si>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</si>
  <si>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</si>
  <si>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</si>
  <si>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</si>
  <si>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</si>
  <si>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</si>
  <si>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</si>
  <si>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</si>
  <si>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</si>
  <si>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</si>
  <si>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</si>
  <si>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</si>
  <si>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</si>
  <si>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</si>
  <si>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</si>
  <si>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</si>
  <si>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</si>
  <si>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</si>
  <si>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</si>
  <si>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</si>
  <si>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</si>
  <si>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</si>
  <si>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</si>
  <si>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</si>
  <si>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</si>
  <si>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</si>
  <si>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</si>
  <si>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</si>
  <si>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</si>
  <si>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</si>
  <si>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</si>
  <si>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</si>
  <si>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</si>
  <si>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</si>
  <si>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</si>
  <si>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</si>
  <si>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</si>
  <si>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</si>
  <si>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</si>
  <si>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</si>
  <si>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</si>
  <si>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</si>
  <si>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</si>
  <si>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</si>
  <si>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</si>
  <si>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</si>
  <si>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</si>
  <si>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</si>
  <si>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</si>
  <si>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</si>
  <si>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</si>
  <si>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</si>
  <si>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</si>
  <si>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</si>
  <si>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</si>
  <si>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</si>
  <si>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</si>
  <si>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</si>
  <si>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</si>
  <si>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</si>
  <si>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</si>
  <si>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</si>
  <si>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</si>
  <si>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</si>
  <si>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</si>
  <si>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</si>
  <si>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</si>
  <si>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</si>
  <si>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</si>
  <si>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</si>
  <si>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</si>
  <si>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</si>
  <si>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</si>
  <si>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</si>
  <si>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</si>
  <si>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</si>
  <si>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</si>
  <si>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</si>
  <si>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</si>
  <si>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</si>
  <si>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</si>
  <si>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</si>
  <si>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</si>
  <si>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</si>
  <si>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</si>
  <si>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</si>
  <si>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</si>
  <si>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</si>
  <si>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</si>
  <si>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</si>
  <si>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</si>
  <si>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</si>
  <si>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</si>
  <si>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</si>
  <si>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</si>
  <si>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</si>
  <si>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</si>
  <si>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</si>
  <si>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</si>
  <si>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</si>
  <si>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</si>
  <si>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</si>
  <si>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</si>
  <si>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</si>
  <si>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</si>
  <si>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</si>
  <si>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</si>
  <si>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</si>
  <si>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</si>
  <si>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</si>
  <si>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</si>
  <si>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</si>
  <si>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</si>
  <si>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</si>
  <si>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</si>
  <si>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</si>
  <si>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</si>
  <si>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</si>
  <si>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</si>
  <si>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</si>
  <si>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</si>
  <si>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</si>
  <si>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</si>
  <si>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</si>
  <si>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</si>
  <si>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</si>
  <si>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</si>
  <si>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</si>
  <si>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</si>
  <si>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</si>
  <si>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</si>
  <si>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</si>
  <si>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</si>
  <si>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</si>
  <si>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</si>
  <si>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</si>
  <si>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</si>
  <si>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</si>
  <si>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</si>
  <si>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</si>
  <si>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</si>
  <si>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</si>
  <si>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</si>
  <si>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</si>
  <si>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</si>
  <si>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</si>
  <si>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</si>
  <si>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</si>
  <si>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</si>
  <si>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</si>
  <si>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</si>
  <si>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</si>
  <si>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</si>
  <si>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</si>
  <si>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</si>
  <si>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</si>
  <si>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</si>
  <si>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</si>
  <si>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</si>
  <si>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</si>
  <si>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</si>
  <si>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</si>
  <si>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</si>
  <si>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</si>
  <si>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</si>
  <si>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</si>
  <si>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</si>
  <si>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</si>
  <si>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</si>
  <si>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</si>
  <si>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</si>
  <si>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</si>
  <si>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</si>
  <si>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</si>
  <si>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</si>
  <si>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</si>
  <si>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</si>
  <si>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</si>
  <si>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</si>
  <si>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</si>
  <si>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</si>
  <si>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</si>
  <si>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</si>
  <si>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</si>
  <si>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</si>
  <si>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</si>
  <si>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</si>
  <si>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</si>
  <si>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</si>
  <si>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</si>
  <si>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</si>
  <si>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</si>
  <si>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</si>
  <si>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</si>
  <si>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</si>
  <si>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</si>
  <si>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</si>
  <si>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</si>
  <si>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</si>
  <si>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</si>
  <si>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</si>
  <si>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</si>
  <si>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</si>
  <si>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</si>
  <si>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</si>
  <si>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</si>
  <si>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</si>
  <si>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</si>
  <si>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</si>
  <si>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</si>
  <si>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</si>
  <si>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</si>
  <si>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</si>
  <si>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</si>
  <si>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</si>
  <si>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</si>
  <si>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</si>
  <si>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</si>
  <si>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</si>
  <si>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</si>
  <si>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</si>
  <si>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</si>
  <si>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</si>
  <si>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</si>
  <si>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</si>
  <si>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</si>
  <si>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</si>
  <si>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</si>
  <si>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</si>
  <si>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</si>
  <si>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</si>
  <si>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</si>
  <si>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</si>
  <si>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</si>
  <si>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</si>
  <si>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</si>
  <si>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</si>
  <si>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</si>
  <si>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</si>
  <si>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</si>
  <si>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</si>
  <si>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</si>
  <si>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</si>
  <si>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</si>
  <si>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</si>
  <si>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</si>
  <si>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</si>
  <si>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</si>
  <si>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</si>
  <si>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</si>
  <si>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</si>
  <si>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</si>
  <si>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</si>
  <si>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</si>
  <si>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</si>
  <si>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</si>
  <si>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</si>
  <si>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</si>
  <si>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</si>
  <si>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</si>
  <si>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</si>
  <si>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</si>
  <si>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</si>
  <si>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</si>
  <si>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</si>
  <si>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</si>
  <si>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</si>
  <si>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</si>
  <si>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</si>
  <si>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</si>
  <si>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</si>
  <si>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</si>
  <si>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</si>
  <si>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</si>
  <si>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</si>
  <si>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</si>
  <si>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</si>
  <si>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</si>
  <si>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</si>
  <si>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</si>
  <si>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</si>
  <si>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</si>
  <si>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</si>
  <si>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</si>
  <si>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</si>
  <si>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</si>
  <si>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</si>
  <si>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</si>
  <si>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</si>
  <si>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</si>
  <si>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</si>
  <si>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</si>
  <si>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</si>
  <si>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</si>
  <si>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</si>
  <si>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</si>
  <si>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</si>
  <si>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</si>
  <si>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</si>
  <si>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</si>
  <si>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</si>
  <si>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</si>
  <si>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</si>
  <si>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</si>
  <si>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</si>
  <si>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</si>
  <si>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</si>
  <si>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</si>
  <si>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</si>
  <si>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</si>
  <si>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</si>
  <si>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</si>
  <si>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</si>
  <si>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</si>
  <si>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</si>
  <si>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</si>
  <si>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</si>
  <si>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</si>
  <si>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</si>
  <si>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</si>
  <si>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</si>
  <si>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</si>
  <si>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</si>
  <si>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</si>
  <si>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</si>
  <si>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</si>
  <si>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</si>
  <si>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</si>
  <si>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</si>
  <si>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</si>
  <si>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</si>
  <si>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</si>
  <si>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</si>
  <si>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</si>
  <si>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</si>
  <si>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</si>
  <si>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</si>
  <si>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</si>
  <si>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</si>
  <si>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</si>
  <si>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</si>
  <si>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</si>
  <si>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</si>
  <si>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</si>
  <si>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</si>
  <si>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</si>
  <si>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</si>
  <si>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</si>
  <si>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</si>
  <si>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</si>
  <si>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</si>
  <si>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</si>
  <si>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</si>
  <si>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</si>
  <si>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</si>
  <si>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</si>
  <si>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</si>
  <si>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</si>
  <si>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</si>
  <si>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</si>
  <si>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</si>
  <si>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</si>
  <si>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</si>
  <si>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</si>
  <si>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</si>
  <si>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</si>
  <si>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</si>
  <si>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</si>
  <si>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</si>
  <si>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</si>
  <si>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</si>
  <si>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</si>
  <si>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</si>
  <si>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</si>
  <si>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</si>
  <si>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</si>
  <si>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</si>
  <si>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</si>
  <si>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</si>
  <si>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</si>
  <si>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</si>
  <si>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</si>
  <si>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</si>
  <si>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</si>
  <si>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</si>
  <si>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</si>
  <si>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</si>
  <si>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</si>
  <si>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</si>
  <si>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</si>
  <si>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</si>
  <si>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</si>
  <si>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</si>
  <si>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</si>
  <si>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</si>
  <si>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</si>
  <si>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</si>
  <si>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</si>
  <si>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</si>
  <si>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</si>
  <si>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</si>
  <si>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</si>
  <si>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</si>
  <si>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</si>
  <si>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</si>
  <si>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</si>
  <si>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</si>
  <si>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</si>
  <si>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</si>
  <si>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</si>
  <si>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</si>
  <si>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</si>
  <si>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</si>
  <si>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</si>
  <si>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</si>
  <si>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</si>
  <si>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</si>
  <si>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</si>
  <si>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</si>
  <si>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</si>
  <si>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</si>
  <si>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</si>
  <si>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</si>
  <si>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</si>
  <si>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</si>
  <si>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</si>
  <si>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</si>
  <si>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</si>
  <si>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</si>
  <si>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</si>
  <si>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</si>
  <si>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</si>
  <si>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</si>
  <si>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</si>
  <si>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</si>
  <si>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</si>
  <si>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</si>
  <si>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</si>
  <si>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</si>
  <si>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</si>
  <si>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</si>
  <si>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</si>
  <si>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</si>
  <si>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</si>
  <si>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</si>
  <si>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</si>
  <si>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</si>
  <si>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</si>
  <si>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</si>
  <si>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</si>
  <si>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</si>
  <si>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</si>
  <si>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</si>
  <si>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</si>
  <si>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</si>
  <si>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</si>
  <si>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</si>
  <si>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</si>
  <si>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</si>
  <si>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</si>
  <si>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</si>
  <si>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</si>
  <si>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</si>
  <si>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</si>
  <si>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</si>
  <si>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</si>
  <si>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</si>
  <si>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</si>
  <si>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</si>
  <si>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</si>
  <si>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</si>
  <si>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</si>
  <si>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</si>
  <si>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</si>
  <si>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</si>
  <si>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</si>
  <si>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</si>
  <si>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</si>
  <si>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</si>
  <si>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</si>
  <si>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</si>
  <si>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</si>
  <si>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</si>
  <si>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</si>
  <si>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</si>
  <si>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</si>
  <si>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</si>
  <si>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</si>
  <si>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</si>
  <si>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</si>
  <si>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</si>
  <si>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</si>
  <si>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</si>
  <si>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</si>
  <si>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</si>
  <si>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</si>
  <si>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</si>
  <si>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</si>
  <si>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</si>
  <si>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</si>
  <si>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</si>
  <si>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</si>
  <si>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</si>
  <si>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</si>
  <si>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</si>
  <si>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</si>
  <si>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</si>
  <si>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</si>
  <si>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</si>
  <si>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</si>
  <si>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</si>
  <si>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</si>
  <si>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</si>
  <si>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</si>
  <si>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</si>
  <si>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</si>
  <si>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</si>
  <si>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</si>
  <si>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</si>
  <si>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</si>
  <si>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</si>
  <si>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</si>
  <si>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</si>
  <si>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</si>
  <si>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</si>
  <si>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</si>
  <si>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</si>
  <si>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</si>
  <si>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</si>
  <si>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</si>
  <si>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</si>
  <si>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</si>
  <si>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</si>
  <si>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</si>
  <si>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</si>
  <si>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</si>
  <si>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</si>
  <si>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</si>
  <si>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</si>
  <si>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</si>
  <si>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</si>
  <si>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</si>
  <si>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</si>
  <si>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</si>
  <si>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</si>
  <si>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</si>
  <si>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</si>
  <si>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</si>
  <si>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</si>
  <si>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</si>
  <si>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</si>
  <si>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</si>
  <si>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</si>
  <si>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</si>
  <si>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</si>
  <si>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</si>
  <si>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</si>
  <si>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</si>
  <si>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</si>
  <si>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</si>
  <si>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</si>
  <si>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</si>
  <si>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</si>
  <si>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</si>
  <si>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</si>
  <si>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</si>
  <si>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</si>
  <si>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</si>
  <si>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</si>
  <si>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</si>
  <si>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</si>
  <si>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</si>
  <si>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</si>
  <si>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</si>
  <si>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</si>
  <si>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</si>
  <si>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</si>
  <si>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</si>
  <si>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</si>
  <si>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</si>
  <si>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</si>
  <si>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</si>
  <si>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</si>
  <si>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</si>
  <si>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</si>
  <si>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</si>
  <si>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</si>
  <si>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</si>
  <si>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</si>
  <si>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</si>
  <si>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</si>
  <si>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</si>
  <si>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</si>
  <si>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</si>
  <si>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</si>
  <si>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</si>
  <si>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</si>
  <si>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</si>
  <si>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</si>
  <si>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</si>
  <si>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</si>
  <si>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</si>
  <si>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</si>
  <si>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</si>
  <si>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</si>
  <si>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</si>
  <si>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</si>
  <si>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</si>
  <si>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</si>
  <si>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</si>
  <si>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</si>
  <si>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</si>
  <si>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</si>
  <si>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</si>
  <si>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</si>
  <si>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</si>
  <si>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</si>
  <si>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</si>
  <si>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</si>
  <si>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</si>
  <si>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</si>
  <si>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</si>
  <si>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</si>
  <si>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</si>
  <si>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</si>
  <si>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</si>
  <si>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</si>
  <si>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</si>
  <si>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</si>
  <si>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</si>
  <si>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</si>
  <si>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</si>
  <si>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</si>
  <si>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</si>
  <si>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</si>
  <si>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</si>
  <si>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</si>
  <si>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</si>
  <si>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</si>
  <si>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</si>
  <si>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</si>
  <si>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</si>
  <si>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</si>
  <si>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</si>
  <si>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</si>
  <si>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</si>
  <si>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</si>
  <si>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</si>
  <si>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</si>
  <si>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</si>
  <si>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</si>
  <si>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</si>
  <si>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</si>
  <si>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</si>
  <si>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</si>
  <si>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</si>
  <si>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</si>
  <si>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</si>
  <si>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</si>
  <si>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</si>
  <si>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</si>
  <si>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</si>
  <si>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</si>
  <si>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</si>
  <si>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</si>
  <si>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</si>
  <si>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</si>
  <si>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</si>
  <si>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</si>
  <si>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</si>
  <si>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</si>
  <si>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</si>
  <si>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</si>
  <si>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</si>
  <si>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</si>
  <si>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</si>
  <si>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</si>
  <si>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</si>
  <si>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</si>
  <si>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</si>
  <si>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</si>
  <si>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</si>
  <si>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</si>
  <si>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</si>
  <si>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</si>
  <si>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</si>
  <si>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</si>
  <si>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</si>
  <si>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</si>
  <si>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</si>
  <si>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</si>
  <si>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</si>
  <si>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</si>
  <si>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</si>
  <si>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</si>
  <si>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</si>
  <si>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</si>
  <si>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</si>
  <si>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</si>
  <si>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</si>
  <si>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</si>
  <si>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</si>
  <si>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</si>
  <si>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</si>
  <si>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</si>
  <si>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</si>
  <si>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</si>
  <si>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</si>
  <si>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</si>
  <si>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</si>
  <si>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</si>
  <si>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</si>
  <si>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</si>
  <si>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</si>
  <si>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</si>
  <si>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</si>
  <si>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</si>
  <si>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</si>
  <si>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</si>
  <si>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</si>
  <si>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</si>
  <si>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</si>
  <si>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</si>
  <si>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</si>
  <si>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</si>
  <si>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</si>
  <si>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</si>
  <si>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</si>
  <si>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</si>
  <si>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</si>
  <si>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</si>
  <si>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</si>
  <si>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</si>
  <si>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</si>
  <si>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</si>
  <si>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</si>
  <si>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</si>
  <si>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</si>
  <si>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</si>
  <si>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</si>
  <si>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</si>
  <si>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</si>
  <si>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</si>
  <si>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</si>
  <si>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</si>
  <si>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</si>
  <si>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</si>
  <si>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</si>
  <si>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</si>
  <si>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</si>
  <si>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</si>
  <si>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</si>
  <si>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</si>
  <si>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</si>
  <si>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</si>
  <si>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</si>
  <si>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</si>
  <si>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</si>
  <si>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</si>
  <si>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</si>
  <si>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</si>
  <si>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</si>
  <si>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</si>
  <si>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</si>
  <si>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</si>
  <si>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</si>
  <si>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</si>
  <si>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</si>
  <si>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</si>
  <si>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</si>
  <si>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</si>
  <si>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</si>
  <si>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</si>
  <si>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</si>
  <si>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</si>
  <si>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</si>
  <si>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</si>
  <si>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</si>
  <si>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</si>
  <si>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</si>
  <si>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</si>
  <si>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</si>
  <si>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</si>
  <si>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</si>
  <si>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</si>
  <si>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</si>
  <si>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</si>
  <si>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</si>
  <si>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</si>
  <si>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</si>
  <si>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</si>
  <si>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</si>
  <si>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</si>
  <si>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</si>
  <si>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</si>
  <si>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</si>
  <si>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</si>
  <si>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</si>
  <si>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</si>
  <si>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</si>
  <si>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</si>
  <si>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</si>
  <si>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</si>
  <si>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</si>
  <si>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</si>
  <si>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</si>
  <si>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</si>
  <si>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</si>
  <si>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</si>
  <si>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</si>
  <si>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</si>
  <si>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</si>
  <si>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</si>
  <si>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</si>
  <si>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</si>
  <si>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</si>
  <si>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</si>
  <si>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</si>
  <si>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</si>
  <si>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</si>
  <si>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</si>
  <si>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</si>
  <si>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</si>
  <si>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</si>
  <si>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</si>
  <si>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</si>
  <si>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</si>
  <si>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</si>
  <si>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</si>
  <si>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</si>
  <si>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</si>
  <si>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</si>
  <si>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</si>
  <si>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</si>
  <si>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</si>
  <si>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</si>
  <si>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</si>
  <si>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</si>
  <si>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</si>
  <si>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</si>
  <si>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</si>
  <si>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</si>
  <si>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</si>
  <si>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</si>
  <si>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</si>
  <si>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</si>
  <si>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</si>
  <si>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</si>
  <si>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</si>
  <si>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</si>
  <si>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</si>
  <si>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</si>
  <si>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</si>
  <si>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</si>
  <si>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</si>
  <si>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</si>
  <si>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</si>
  <si>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</si>
  <si>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</si>
  <si>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</si>
  <si>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</si>
  <si>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</si>
  <si>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</si>
  <si>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</si>
  <si>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</si>
  <si>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</si>
  <si>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</si>
  <si>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</si>
  <si>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</si>
  <si>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</si>
  <si>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</si>
  <si>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</si>
  <si>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</si>
  <si>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</si>
  <si>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</si>
  <si>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</si>
  <si>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</si>
  <si>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</si>
  <si>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</si>
  <si>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</si>
  <si>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</si>
  <si>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</si>
  <si>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</si>
  <si>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</si>
  <si>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</si>
  <si>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</si>
  <si>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</si>
  <si>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</si>
  <si>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</si>
  <si>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</si>
  <si>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</si>
  <si>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</si>
  <si>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</si>
  <si>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</si>
  <si>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</si>
  <si>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</si>
  <si>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</si>
  <si>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</si>
  <si>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</si>
  <si>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</si>
  <si>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</si>
  <si>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</si>
  <si>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</si>
  <si>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</si>
  <si>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</si>
  <si>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</si>
  <si>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</si>
  <si>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</si>
  <si>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</si>
  <si>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</si>
  <si>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</si>
  <si>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</si>
  <si>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</si>
  <si>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</si>
  <si>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</si>
  <si>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</si>
  <si>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</si>
  <si>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</si>
  <si>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</si>
  <si>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</si>
  <si>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</si>
  <si>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</si>
  <si>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</si>
  <si>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</si>
  <si>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</si>
  <si>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</si>
  <si>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</si>
  <si>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</si>
  <si>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</si>
  <si>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</si>
  <si>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</si>
  <si>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</si>
  <si>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</si>
  <si>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</si>
  <si>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</si>
  <si>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</si>
  <si>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</si>
  <si>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</si>
  <si>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</si>
  <si>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</si>
  <si>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</si>
  <si>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</si>
  <si>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</si>
  <si>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</si>
  <si>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</si>
  <si>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</si>
  <si>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</si>
  <si>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</si>
  <si>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</si>
  <si>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</si>
  <si>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</si>
  <si>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</si>
  <si>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</si>
  <si>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</si>
  <si>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</si>
  <si>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</si>
  <si>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</si>
  <si>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</si>
  <si>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</si>
  <si>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</si>
  <si>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</si>
  <si>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</si>
  <si>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</si>
  <si>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</si>
  <si>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</si>
  <si>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</si>
  <si>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</si>
  <si>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</si>
  <si>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</si>
  <si>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</si>
  <si>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</si>
  <si>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</si>
  <si>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</si>
  <si>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</si>
  <si>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</si>
  <si>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</si>
  <si>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</si>
  <si>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</si>
  <si>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</si>
  <si>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</si>
  <si>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</si>
  <si>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</si>
  <si>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</si>
  <si>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</si>
  <si>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</si>
  <si>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</si>
  <si>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</si>
  <si>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</si>
  <si>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</si>
  <si>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</si>
  <si>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</si>
  <si>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</si>
  <si>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</si>
  <si>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</si>
  <si>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</si>
  <si>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</si>
  <si>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</si>
  <si>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</si>
  <si>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</si>
  <si>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</si>
  <si>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</si>
  <si>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</si>
  <si>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</si>
  <si>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</si>
  <si>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</si>
  <si>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</si>
  <si>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</si>
  <si>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</si>
  <si>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</si>
  <si>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</si>
  <si>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</si>
  <si>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</si>
  <si>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</si>
  <si>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</si>
  <si>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</si>
  <si>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</si>
  <si>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</si>
  <si>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</si>
  <si>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</si>
  <si>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</si>
  <si>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</si>
  <si>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</si>
  <si>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</si>
  <si>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</si>
  <si>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</si>
  <si>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</si>
  <si>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</si>
  <si>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</si>
  <si>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</si>
  <si>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</si>
  <si>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</si>
  <si>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</si>
  <si>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</si>
  <si>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</si>
  <si>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</si>
  <si>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</si>
  <si>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</si>
  <si>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</si>
  <si>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</si>
  <si>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</si>
  <si>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</si>
  <si>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</si>
  <si>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</si>
  <si>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</si>
  <si>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</si>
  <si>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</si>
  <si>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</si>
  <si>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</si>
  <si>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</si>
  <si>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</si>
  <si>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</si>
  <si>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</si>
  <si>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</si>
  <si>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</si>
  <si>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</si>
  <si>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</si>
  <si>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</si>
  <si>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</si>
  <si>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</si>
  <si>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</si>
  <si>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</si>
  <si>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</si>
  <si>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</si>
  <si>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</si>
  <si>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</si>
  <si>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</si>
  <si>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</si>
  <si>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</si>
  <si>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</si>
  <si>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</si>
  <si>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</si>
  <si>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</si>
  <si>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</si>
  <si>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</si>
  <si>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</si>
  <si>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</si>
  <si>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</si>
  <si>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</si>
  <si>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</si>
  <si>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</si>
  <si>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</si>
  <si>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</si>
  <si>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</si>
  <si>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</si>
  <si>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</si>
  <si>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</si>
  <si>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</si>
  <si>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</si>
  <si>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</si>
  <si>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</si>
  <si>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</si>
  <si>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</si>
  <si>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</si>
  <si>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</si>
  <si>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</si>
  <si>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</si>
  <si>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</si>
  <si>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</si>
  <si>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</si>
  <si>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</si>
  <si>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</si>
  <si>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</si>
  <si>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</si>
  <si>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</si>
  <si>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</si>
  <si>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</si>
  <si>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</si>
  <si>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</si>
  <si>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</si>
  <si>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</si>
  <si>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</si>
  <si>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</si>
  <si>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</si>
  <si>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</si>
  <si>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</si>
  <si>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</si>
  <si>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</si>
  <si>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</si>
  <si>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</si>
  <si>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</si>
  <si>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</si>
  <si>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</si>
  <si>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</si>
  <si>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</si>
  <si>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</si>
  <si>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</si>
  <si>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</si>
  <si>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</si>
  <si>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</si>
  <si>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</si>
  <si>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</si>
  <si>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</si>
  <si>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</si>
  <si>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</si>
  <si>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</si>
  <si>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</si>
  <si>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</si>
  <si>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</si>
  <si>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</si>
  <si>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</si>
  <si>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</si>
  <si>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</si>
  <si>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</si>
  <si>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</si>
  <si>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</si>
  <si>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</si>
  <si>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</si>
  <si>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</si>
  <si>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</si>
  <si>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</si>
  <si>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</si>
  <si>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</si>
  <si>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</si>
  <si>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</si>
  <si>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</si>
  <si>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</si>
  <si>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</si>
  <si>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</si>
  <si>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</si>
  <si>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</si>
  <si>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</si>
  <si>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</si>
  <si>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</si>
  <si>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</si>
  <si>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</si>
  <si>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</si>
  <si>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</si>
  <si>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</si>
  <si>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</si>
  <si>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</si>
  <si>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</si>
  <si>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</si>
  <si>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</si>
  <si>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</si>
  <si>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</si>
  <si>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</si>
  <si>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</si>
  <si>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</si>
  <si>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</si>
  <si>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</si>
  <si>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</si>
  <si>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</si>
  <si>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</si>
  <si>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</si>
  <si>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</si>
  <si>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</si>
  <si>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</si>
  <si>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</si>
  <si>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</si>
  <si>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</si>
  <si>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</si>
  <si>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</si>
  <si>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</si>
  <si>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</si>
  <si>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</si>
  <si>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</si>
  <si>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</si>
  <si>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</si>
  <si>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</si>
  <si>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</si>
  <si>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</si>
  <si>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</si>
  <si>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</si>
  <si>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</si>
  <si>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</si>
  <si>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</si>
  <si>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</si>
  <si>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</si>
  <si>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</si>
  <si>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</si>
  <si>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</si>
  <si>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</si>
  <si>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</si>
  <si>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</si>
  <si>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</si>
  <si>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</si>
  <si>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</si>
  <si>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</si>
  <si>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</si>
  <si>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</si>
  <si>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</si>
  <si>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</si>
  <si>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</si>
  <si>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</si>
  <si>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</si>
  <si>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</si>
  <si>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</si>
  <si>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</si>
  <si>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</si>
  <si>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</si>
  <si>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</si>
  <si>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</si>
  <si>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</si>
  <si>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</si>
  <si>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</si>
  <si>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</si>
  <si>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</si>
  <si>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</si>
  <si>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</si>
  <si>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</si>
  <si>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</si>
  <si>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</si>
  <si>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</si>
  <si>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</si>
  <si>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</si>
  <si>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</si>
  <si>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</si>
  <si>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</si>
  <si>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</si>
  <si>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</si>
  <si>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</si>
  <si>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</si>
  <si>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</si>
  <si>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</si>
  <si>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</si>
  <si>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</si>
  <si>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</si>
  <si>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</si>
  <si>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</si>
  <si>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</si>
  <si>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</si>
  <si>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</si>
  <si>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</si>
  <si>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</si>
  <si>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</si>
  <si>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</si>
  <si>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</si>
  <si>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</si>
  <si>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</si>
  <si>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</si>
  <si>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</si>
  <si>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</si>
  <si>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</si>
  <si>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</si>
  <si>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</si>
  <si>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</si>
  <si>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</si>
  <si>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</si>
  <si>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</si>
  <si>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</si>
  <si>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</si>
  <si>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</si>
  <si>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</si>
  <si>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</si>
  <si>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</si>
  <si>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</si>
  <si>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</si>
  <si>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</si>
  <si>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</si>
  <si>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</si>
  <si>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</si>
  <si>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</si>
  <si>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</si>
  <si>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</si>
  <si>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</si>
  <si>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</si>
  <si>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</si>
  <si>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</si>
  <si>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</si>
  <si>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</si>
  <si>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</si>
  <si>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</si>
  <si>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</si>
  <si>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</si>
  <si>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</si>
  <si>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</si>
  <si>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</si>
  <si>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</si>
  <si>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</si>
  <si>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</si>
  <si>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</si>
  <si>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</si>
  <si>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</si>
  <si>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</si>
  <si>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</si>
  <si>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</si>
  <si>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</si>
  <si>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</si>
  <si>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</si>
  <si>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</si>
  <si>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</si>
  <si>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</si>
  <si>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</si>
  <si>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</si>
  <si>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</si>
  <si>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</si>
  <si>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</si>
  <si>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</si>
  <si>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</si>
  <si>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</si>
  <si>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</si>
  <si>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</si>
  <si>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</si>
  <si>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</si>
  <si>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</si>
  <si>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</si>
  <si>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</si>
  <si>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</si>
  <si>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</si>
  <si>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</si>
  <si>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</si>
  <si>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</si>
  <si>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</si>
  <si>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</si>
  <si>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</si>
  <si>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</si>
  <si>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</si>
  <si>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</si>
  <si>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</si>
  <si>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</si>
  <si>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</si>
  <si>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</si>
  <si>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</si>
  <si>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</si>
  <si>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</si>
  <si>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</si>
  <si>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</si>
  <si>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</si>
  <si>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</si>
  <si>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</si>
  <si>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</si>
  <si>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</si>
  <si>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</si>
  <si>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</si>
  <si>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</si>
  <si>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</si>
  <si>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</si>
  <si>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</si>
  <si>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</si>
  <si>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</si>
  <si>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</si>
  <si>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</si>
  <si>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</si>
  <si>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</si>
  <si>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</si>
  <si>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</si>
  <si>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</si>
  <si>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</si>
  <si>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</si>
  <si>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</si>
  <si>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</si>
  <si>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</si>
  <si>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</si>
  <si>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</si>
  <si>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</si>
  <si>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</si>
  <si>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</si>
  <si>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</si>
  <si>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</si>
  <si>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</si>
  <si>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</si>
  <si>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</si>
  <si>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</si>
  <si>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</si>
  <si>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</si>
  <si>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</si>
  <si>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</si>
  <si>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</si>
  <si>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</si>
  <si>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</si>
  <si>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</si>
  <si>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</si>
  <si>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</si>
  <si>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</si>
  <si>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</si>
  <si>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</si>
  <si>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</si>
  <si>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</si>
  <si>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</si>
  <si>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</si>
  <si>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</si>
  <si>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</si>
  <si>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</si>
  <si>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</si>
  <si>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</si>
  <si>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</si>
  <si>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</si>
  <si>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</si>
  <si>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</si>
  <si>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</si>
  <si>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</si>
  <si>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</si>
  <si>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</si>
  <si>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</si>
  <si>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</si>
  <si>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</si>
  <si>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</si>
  <si>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</si>
  <si>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</si>
  <si>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</si>
  <si>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</si>
  <si>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</si>
  <si>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</si>
  <si>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</si>
  <si>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</si>
  <si>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</si>
  <si>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</si>
  <si>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</si>
  <si>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</si>
  <si>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</si>
  <si>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</si>
  <si>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</si>
  <si>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</si>
  <si>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</si>
  <si>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</si>
  <si>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</si>
  <si>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</si>
  <si>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</si>
  <si>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</si>
  <si>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</si>
  <si>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</si>
  <si>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</si>
  <si>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</si>
  <si>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</si>
  <si>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</si>
  <si>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</si>
  <si>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</si>
  <si>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</si>
  <si>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</si>
  <si>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</si>
  <si>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</si>
  <si>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</si>
  <si>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</si>
  <si>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</si>
  <si>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</si>
  <si>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</si>
  <si>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</si>
  <si>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</si>
  <si>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</si>
  <si>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</si>
  <si>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</si>
  <si>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</si>
  <si>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</si>
  <si>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</si>
  <si>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</si>
  <si>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</si>
  <si>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</si>
  <si>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</si>
  <si>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</si>
  <si>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</si>
  <si>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</si>
  <si>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</si>
  <si>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</si>
  <si>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</si>
  <si>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</si>
  <si>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</si>
  <si>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</si>
  <si>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</si>
  <si>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</si>
  <si>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</si>
  <si>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</si>
  <si>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</si>
  <si>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</si>
  <si>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</si>
  <si>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</si>
  <si>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</si>
  <si>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</si>
  <si>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</si>
  <si>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</si>
  <si>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</si>
  <si>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</si>
  <si>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</si>
  <si>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</si>
  <si>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</si>
  <si>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</si>
  <si>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</si>
  <si>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</si>
  <si>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</si>
  <si>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</si>
  <si>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</si>
  <si>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</si>
  <si>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</si>
  <si>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</si>
  <si>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</si>
  <si>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</si>
  <si>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</si>
  <si>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</si>
  <si>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</si>
  <si>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</si>
  <si>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</si>
  <si>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</si>
  <si>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</si>
  <si>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</si>
  <si>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</si>
  <si>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</si>
  <si>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</si>
  <si>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</si>
  <si>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</si>
  <si>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</si>
  <si>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</si>
  <si>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</si>
  <si>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</si>
  <si>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</si>
  <si>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</si>
  <si>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</si>
  <si>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</si>
  <si>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</si>
  <si>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</si>
  <si>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</si>
  <si>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</si>
  <si>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</si>
  <si>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</si>
  <si>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</si>
  <si>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</si>
  <si>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</si>
  <si>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</si>
  <si>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</si>
  <si>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</si>
  <si>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</si>
  <si>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</si>
  <si>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</si>
  <si>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</si>
  <si>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</si>
  <si>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</si>
  <si>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</si>
  <si>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</si>
  <si>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</si>
  <si>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</si>
  <si>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</si>
  <si>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</si>
  <si>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</si>
  <si>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</si>
  <si>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</si>
  <si>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</si>
  <si>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</si>
  <si>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</si>
  <si>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</si>
  <si>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</si>
  <si>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</si>
  <si>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</si>
  <si>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</si>
  <si>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</si>
  <si>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</si>
  <si>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</si>
  <si>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</si>
  <si>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</si>
  <si>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</si>
  <si>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</si>
  <si>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</si>
  <si>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</si>
  <si>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</si>
  <si>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</si>
  <si>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</si>
  <si>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</si>
  <si>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</si>
  <si>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</si>
  <si>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</si>
  <si>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</si>
  <si>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</si>
  <si>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</si>
  <si>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</si>
  <si>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</si>
  <si>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</si>
  <si>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</si>
  <si>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</si>
  <si>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</si>
  <si>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</si>
  <si>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</si>
  <si>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</si>
  <si>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</si>
  <si>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</si>
  <si>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</si>
  <si>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</si>
  <si>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</si>
  <si>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</si>
  <si>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</si>
  <si>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</si>
  <si>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</si>
  <si>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</si>
  <si>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</si>
  <si>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</si>
  <si>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</si>
  <si>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</si>
  <si>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</si>
  <si>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</si>
  <si>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</si>
  <si>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</si>
  <si>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</si>
  <si>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</si>
  <si>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</si>
  <si>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</si>
  <si>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</si>
  <si>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</si>
  <si>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</si>
  <si>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</si>
  <si>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</si>
  <si>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</si>
  <si>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</si>
  <si>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</si>
  <si>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</si>
  <si>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</si>
  <si>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</si>
  <si>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</si>
  <si>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</si>
  <si>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</si>
  <si>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</si>
  <si>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</si>
  <si>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</si>
  <si>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</si>
  <si>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</si>
  <si>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</si>
  <si>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Carroll</t>
  </si>
  <si>
    <t xml:space="preserve">Mt. Carroll </t>
  </si>
  <si>
    <t>jkatzenberger@wc314.org</t>
  </si>
  <si>
    <t>Julie Katzenberger</t>
  </si>
  <si>
    <t>x</t>
  </si>
  <si>
    <t xml:space="preserve">Benning Group, LLC </t>
  </si>
  <si>
    <t xml:space="preserve">Jenny L. Blocker </t>
  </si>
  <si>
    <t>50 W. Douglas Street, Suite 801</t>
  </si>
  <si>
    <t>Freeport</t>
  </si>
  <si>
    <t>IL</t>
  </si>
  <si>
    <t>066-004238</t>
  </si>
  <si>
    <t>jblocker@benninggroup.com</t>
  </si>
  <si>
    <t xml:space="preserve">Aaron Mercier </t>
  </si>
  <si>
    <t>amercier@roe8.com</t>
  </si>
  <si>
    <t>N/A</t>
  </si>
  <si>
    <r>
      <t xml:space="preserve">The accompanying Schedule of Expenditures of Federal Awards includes the federal grant activity of </t>
    </r>
    <r>
      <rPr>
        <b/>
        <sz val="9"/>
        <rFont val="Calibri"/>
        <family val="2"/>
        <scheme val="minor"/>
      </rPr>
      <t>West Carroll Community School District No. 314</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 purpose </t>
    </r>
    <r>
      <rPr>
        <sz val="9"/>
        <rFont val="Calibri"/>
        <family val="2"/>
        <scheme val="minor"/>
      </rPr>
      <t>financial statements.</t>
    </r>
  </si>
  <si>
    <t>None</t>
  </si>
  <si>
    <r>
      <t xml:space="preserve">The following amounts were expended in the form of non-cash assistance by </t>
    </r>
    <r>
      <rPr>
        <b/>
        <sz val="9"/>
        <rFont val="Calibri"/>
        <family val="2"/>
        <scheme val="minor"/>
      </rPr>
      <t>West Carroll Community School District No. 314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</si>
  <si>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AGRICULTURE:</t>
  </si>
  <si>
    <t xml:space="preserve"> Through Illinois State Board of Education:</t>
  </si>
  <si>
    <t xml:space="preserve">    DoD Fresh Fruits and Vegetables Program (non-cash)  (M)</t>
  </si>
  <si>
    <t xml:space="preserve">    Commodities Program (non-cash)  (M)</t>
  </si>
  <si>
    <t xml:space="preserve">    National School Lunch Program  (M)</t>
  </si>
  <si>
    <t>16-4210-00</t>
  </si>
  <si>
    <t>17-4210-00</t>
  </si>
  <si>
    <t>18-4210-00</t>
  </si>
  <si>
    <t xml:space="preserve">      Subtotal 10.555</t>
  </si>
  <si>
    <t xml:space="preserve">    School Breakfast Program  (M)</t>
  </si>
  <si>
    <t xml:space="preserve">      Subtotal 10.553</t>
  </si>
  <si>
    <t xml:space="preserve">   Equipment Assistance Grant  (M)</t>
  </si>
  <si>
    <t xml:space="preserve">      Subtotal 10.579</t>
  </si>
  <si>
    <t xml:space="preserve">        TOTAL THROUGH USDA PROGRAMS</t>
  </si>
  <si>
    <t>16-4220-00</t>
  </si>
  <si>
    <t>17-4220-00</t>
  </si>
  <si>
    <t>18-4220-00</t>
  </si>
  <si>
    <t>16-4260-00</t>
  </si>
  <si>
    <t>U.S. DEPARTMENT OF EDUCATION:</t>
  </si>
  <si>
    <t xml:space="preserve">  Through Illinois State Board of Education:</t>
  </si>
  <si>
    <t xml:space="preserve">    Title I - Low Income (M)</t>
  </si>
  <si>
    <t>84.010A</t>
  </si>
  <si>
    <t>16-4300-00</t>
  </si>
  <si>
    <t>17-4300-00</t>
  </si>
  <si>
    <t>18-4300-00</t>
  </si>
  <si>
    <t xml:space="preserve">    Title I - Low Income </t>
  </si>
  <si>
    <t xml:space="preserve">      Subtotal 84.010A</t>
  </si>
  <si>
    <t xml:space="preserve">    Title II -  Teacher Quality</t>
  </si>
  <si>
    <t>84.367A</t>
  </si>
  <si>
    <t>16-4932-00</t>
  </si>
  <si>
    <t>17-4932-00</t>
  </si>
  <si>
    <t>18-4932-00</t>
  </si>
  <si>
    <t xml:space="preserve">      Subtotal 84.367A</t>
  </si>
  <si>
    <t xml:space="preserve">    Fed. Sp. Ed. - IDEA Room and Board  </t>
  </si>
  <si>
    <t>84.027A</t>
  </si>
  <si>
    <t>16-4625-00</t>
  </si>
  <si>
    <t>18-4625-00</t>
  </si>
  <si>
    <t xml:space="preserve">    Through Northwest Special Education Cooperative (08-089-1450-61):</t>
  </si>
  <si>
    <t xml:space="preserve">      Fed. Sp. Ed. - IDEA Flow-Through </t>
  </si>
  <si>
    <t xml:space="preserve">      Fed. Sp. Ed. - IDEA Flow-Through In-Service  </t>
  </si>
  <si>
    <t>16-4620</t>
  </si>
  <si>
    <t>17-4620</t>
  </si>
  <si>
    <t>18-4620</t>
  </si>
  <si>
    <t>17-4620-00</t>
  </si>
  <si>
    <t>18-4620-00</t>
  </si>
  <si>
    <t xml:space="preserve">        Subtotal 84.027A</t>
  </si>
  <si>
    <t xml:space="preserve">      Fed. Sp. Ed. - Pre-School Flow-Through</t>
  </si>
  <si>
    <t>84.173A</t>
  </si>
  <si>
    <t xml:space="preserve">      Fed. Sp. Ed. - Pre-School Flow-Through  </t>
  </si>
  <si>
    <t xml:space="preserve">        Subtotal 84.173A</t>
  </si>
  <si>
    <t>17-4600-00</t>
  </si>
  <si>
    <t>18-4600-00</t>
  </si>
  <si>
    <t xml:space="preserve">    Through Eagle Ridge Vocational Delivery System  (08-000-0000-46):</t>
  </si>
  <si>
    <t xml:space="preserve">      CTE - Perkins Title II C - Secondary</t>
  </si>
  <si>
    <t>84.048A</t>
  </si>
  <si>
    <t>17-4745-00</t>
  </si>
  <si>
    <t xml:space="preserve">        Subtotal 84.048A</t>
  </si>
  <si>
    <t xml:space="preserve">        TOTAL THROUGH USDE PROGRAMS</t>
  </si>
  <si>
    <t>U.S. DEPARTMENT OF HEALTH &amp; HUMAN SERVICES:</t>
  </si>
  <si>
    <t xml:space="preserve">  Through Illinois Dept. of Healthcare &amp; Family Services:</t>
  </si>
  <si>
    <t xml:space="preserve">   Medicaid Administrative Outreach</t>
  </si>
  <si>
    <t>16-4991-00</t>
  </si>
  <si>
    <t>17-4991-00</t>
  </si>
  <si>
    <t>18-4991-00</t>
  </si>
  <si>
    <t xml:space="preserve">        TOTAL THROUGH USDHHS PROGRAMS</t>
  </si>
  <si>
    <t xml:space="preserve">    Title IVA -  Student Support &amp; Academic Enrich</t>
  </si>
  <si>
    <t>18-4400-00</t>
  </si>
  <si>
    <t>TOTAL FEDERAL AWARDS</t>
  </si>
  <si>
    <t>Adverse - GAAP / Unmodified - Cash Basis</t>
  </si>
  <si>
    <t>Unmodified</t>
  </si>
  <si>
    <t>10.555, 10.553, 10.579</t>
  </si>
  <si>
    <t>Child Nutrition Cluster</t>
  </si>
  <si>
    <t>The District is responsible for preparation of accurate financial statements.</t>
  </si>
  <si>
    <t>Material audit adjustments were identified during the fiscal year 2018 financial audit.</t>
  </si>
  <si>
    <t>Several material audit adjustments were necessary to arrive at accurate financial statements.</t>
  </si>
  <si>
    <t>Unfamiliarity with specific accounts required by ISBE for proper reporting in the AFR, primarily in unique reporting situations.</t>
  </si>
  <si>
    <t>The District should consult with ISBE or reference the Illinois Program Accounting Manual for proper recording of financial transactions.</t>
  </si>
  <si>
    <t>District will be more diligent when reviewing the IPAM for special reporting situations.</t>
  </si>
  <si>
    <t>Fed. Sp. Ed. - IDEA Flow-Through 2018</t>
  </si>
  <si>
    <t>Northwest Special Education Cooperative</t>
  </si>
  <si>
    <t>U.S. Department of Education</t>
  </si>
  <si>
    <t>The District is to file an accurate expenditure report.</t>
  </si>
  <si>
    <t>Unapproved amounts claimed for IDEA Flow-Through total $9,877.</t>
  </si>
  <si>
    <t>The District claimed expenditures for D. Beyer's salary on its June 30, 2018 expenditure report. The grant budget did not include D. Beyer's salary.</t>
  </si>
  <si>
    <t xml:space="preserve">The District's June 30, 2018 IDEA Flow-Through expenditure report included expenditures which had not been approved in the grant budget. </t>
  </si>
  <si>
    <t>Inadequate review of expenditure reports prior to submission.</t>
  </si>
  <si>
    <t>The District should implement procedures to provide for review of expenditure reports and supporting documentation to ensure that only approved expenditures are claimed.</t>
  </si>
  <si>
    <t>Expenditure reports will be reviewed in greater detail prior to submission.</t>
  </si>
  <si>
    <t>The June 30, 2018 IDEA Flow-Through expenditure report reflects expenditures that were not approved in the grant budget.</t>
  </si>
  <si>
    <t>Title II - 2018</t>
  </si>
  <si>
    <t>Illinois State Board of Education</t>
  </si>
  <si>
    <t>The District is to file a quarterly expenditure report within 20 days of the end of each quarter with the Illinois State Board of Education.</t>
  </si>
  <si>
    <t xml:space="preserve">The June 30, 2018 Title II expenditure report was not filed within 20 days of the end of the quarter. </t>
  </si>
  <si>
    <t>The timing of the filing of the District's June 30, 2018 Title II expenditure report was not in compliance with ISBE's requirements.</t>
  </si>
  <si>
    <t>Inadequate review of expenditure report submission timing.</t>
  </si>
  <si>
    <t>The District should implement procedures to ensure that quarterly expenditure reports are filed within 20 days of quarter end.</t>
  </si>
  <si>
    <t>Quarterly expenditure reports will be filed within the 20 day compliance requirement.</t>
  </si>
  <si>
    <t>2017-001</t>
  </si>
  <si>
    <t>Material audit adjustments were identified during the fiscal year 2017 financial audit.</t>
  </si>
  <si>
    <t>Unresolved - See Finding 2018-001</t>
  </si>
  <si>
    <t>2017-002</t>
  </si>
  <si>
    <t>The June 30, 2017 Title I expenditure report reflects expenditures that were not approved in the grant budget.</t>
  </si>
  <si>
    <t>Repeat comment for current fiscal year. Prior year comment pertained to Title I expenditures and the current year comments (2018-002) pertain to IDEA Flow-Through expenditures.</t>
  </si>
  <si>
    <t>2017-003</t>
  </si>
  <si>
    <t>The June 30, 2017 Title I expenditure report reflects expenditures that were not supported by the District's documentation of the program for fiscal year 2017.</t>
  </si>
  <si>
    <t>Resolved</t>
  </si>
  <si>
    <t xml:space="preserve">642 S. East Street </t>
  </si>
  <si>
    <t>BENNING GROUP, LLC</t>
  </si>
  <si>
    <t>G.O School Bond, Series 2008A</t>
  </si>
  <si>
    <t>G.O School Bond, Series 2008B</t>
  </si>
  <si>
    <t>G.O School Bond, Series 2008C</t>
  </si>
  <si>
    <t>G.O School Bond, Series 2016</t>
  </si>
  <si>
    <t>G.O Refunding Bonds, Series 2016A</t>
  </si>
  <si>
    <t>G.O Refunding Bonds, Series 2016B</t>
  </si>
  <si>
    <t>Computer Capital Lease</t>
  </si>
  <si>
    <t>ISBE Technology Loan</t>
  </si>
  <si>
    <t>Capital Lease</t>
  </si>
  <si>
    <t>G.O Refunding Bonds, Series 2017A</t>
  </si>
  <si>
    <t>G.O Refunding Bonds, Series 2017B</t>
  </si>
  <si>
    <t>Camelot Education</t>
  </si>
  <si>
    <t>Willowglen</t>
  </si>
  <si>
    <t>Tiny Eye Technologies</t>
  </si>
  <si>
    <t>Kansas State Bank</t>
  </si>
  <si>
    <t>TR-Pupil Transportation Services-Purchased Services</t>
  </si>
  <si>
    <t>Chadwick-Milledgeville CUSD #399, Eastland CUSD #308</t>
  </si>
  <si>
    <t>Lee/Ogle ROE</t>
  </si>
  <si>
    <t xml:space="preserve">Jo Daviess Carroll CTEA, Eagle Ridge VDS </t>
  </si>
  <si>
    <t xml:space="preserve">Chadwick-Milledgeveille CUSD #399, Eastland CUSD #308, ROE </t>
  </si>
  <si>
    <t>Jo Daviess Carroll CTEA</t>
  </si>
  <si>
    <t xml:space="preserve">Northwest Special Education Cooperative </t>
  </si>
  <si>
    <t xml:space="preserve">Chadwick-Milledgeville CUSD #399, Eastland CUSD #308, ROE </t>
  </si>
  <si>
    <t xml:space="preserve">ROE - IASA Job Posting </t>
  </si>
  <si>
    <t xml:space="preserve">Account </t>
  </si>
  <si>
    <t xml:space="preserve">Fund </t>
  </si>
  <si>
    <t xml:space="preserve">Line </t>
  </si>
  <si>
    <t xml:space="preserve">Page </t>
  </si>
  <si>
    <t xml:space="preserve">Aides - Salaries </t>
  </si>
  <si>
    <t xml:space="preserve">Aides - Employee Benefits </t>
  </si>
  <si>
    <t xml:space="preserve">Alternative School Payments </t>
  </si>
  <si>
    <t xml:space="preserve">Bond Retirement Fees </t>
  </si>
  <si>
    <t xml:space="preserve">Bus Aide Salaries </t>
  </si>
  <si>
    <t xml:space="preserve">Bus Aide Employee Benefits </t>
  </si>
  <si>
    <t xml:space="preserve">Misc. Student Resales </t>
  </si>
  <si>
    <t xml:space="preserve">FY16 Erate Revenue </t>
  </si>
  <si>
    <t xml:space="preserve">FY17 Erate Revenue </t>
  </si>
  <si>
    <t>State Library Grant</t>
  </si>
  <si>
    <t xml:space="preserve">Phone services </t>
  </si>
  <si>
    <t>40-2550-300</t>
  </si>
  <si>
    <t>ED-Instruction-Other</t>
  </si>
  <si>
    <t>ED-Pupil-Purchased Service</t>
  </si>
  <si>
    <t>10-2100-300</t>
  </si>
  <si>
    <t>ROE</t>
  </si>
  <si>
    <t>District Cafeteria Reimbursement</t>
  </si>
  <si>
    <t>was recorded in 10-8990 and 30-7990.</t>
  </si>
  <si>
    <t xml:space="preserve">Account Summary Page 7 and 8: A transfer of $25,790 to Debt Service Fund to Pay Principal on an ISBE Loan </t>
  </si>
  <si>
    <r>
      <t xml:space="preserve">Of the federal expenditures presented in the schedule, </t>
    </r>
    <r>
      <rPr>
        <b/>
        <sz val="9"/>
        <rFont val="Calibri"/>
        <family val="2"/>
        <scheme val="minor"/>
      </rPr>
      <t>West Carroll Community School District No. 314</t>
    </r>
    <r>
      <rPr>
        <sz val="9"/>
        <rFont val="Calibri"/>
        <family val="2"/>
        <scheme val="minor"/>
      </rPr>
      <t xml:space="preserve"> provided federal awards to subrecipients as follows:</t>
    </r>
  </si>
  <si>
    <t>Flow through grant funds of $632,866, Early Childhood grant reimbursements of $237,000, and special ed grant revenue of $58,832 were reclassed for proper ISBE reporting. In addition, audit adjustments were identified to correct the allocation of CPPRT proceeds for $31,974 and for recording of refunding bond issuance of $4,895,000 and related costs.</t>
  </si>
  <si>
    <t>West Carroll CUSD 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</si>
</sst>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top style="thin">
        <color indexed="64"/>
      </top>
      <bottom style="double">
        <color indexed="64"/>
      </bottom>
      <diagonal/>
    </border>
    <border>
      <left/>
      <right/>
      <top/>
      <bottom style="double">
        <color indexed="64"/>
      </bottom>
      <diagonal/>
    </border>
  </borders>
  <cellStyleXfs count="4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44" fontId="11" fillId="0" borderId="0" applyFont="0" applyFill="0" applyBorder="0" applyAlignment="0" applyProtection="0"/>
    <xf numFmtId="44" fontId="11" fillId="0" borderId="0" applyFont="0" applyFill="0" applyBorder="0" applyAlignment="0" applyProtection="0"/>
    <xf numFmtId="0" fontId="4" fillId="0" borderId="0"/>
    <xf numFmtId="43" fontId="11" fillId="0" borderId="0" applyFont="0" applyFill="0" applyBorder="0" applyAlignment="0" applyProtection="0"/>
    <xf numFmtId="0" fontId="11" fillId="0" borderId="0"/>
    <xf numFmtId="0" fontId="4" fillId="0" borderId="0"/>
    <xf numFmtId="0" fontId="4" fillId="0" borderId="0"/>
    <xf numFmtId="0" fontId="4" fillId="0" borderId="0"/>
    <xf numFmtId="44" fontId="11" fillId="0" borderId="0" applyFont="0" applyFill="0" applyBorder="0" applyAlignment="0" applyProtection="0"/>
    <xf numFmtId="44" fontId="11" fillId="0" borderId="0" applyFont="0" applyFill="0" applyBorder="0" applyAlignment="0" applyProtection="0"/>
    <xf numFmtId="0" fontId="4" fillId="0" borderId="0"/>
    <xf numFmtId="44" fontId="11"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39" fillId="0" borderId="0" applyFont="0" applyFill="0" applyBorder="0" applyAlignment="0" applyProtection="0"/>
  </cellStyleXfs>
  <cellXfs count="254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3" fontId="12" fillId="0" borderId="22" xfId="3" applyNumberFormat="1" applyFont="1" applyBorder="1" applyAlignment="1" applyProtection="1">
      <alignment horizontal="left" vertical="center" wrapText="1"/>
      <protection locked="0"/>
    </xf>
    <xf numFmtId="3" fontId="12" fillId="0" borderId="22" xfId="3" applyNumberFormat="1" applyFont="1" applyBorder="1" applyAlignment="1" applyProtection="1">
      <alignment horizontal="left" vertical="center" shrinkToFit="1"/>
      <protection locked="0"/>
    </xf>
    <xf numFmtId="3" fontId="99" fillId="0" borderId="8" xfId="3" applyNumberFormat="1" applyFont="1" applyBorder="1" applyAlignment="1" applyProtection="1">
      <alignment horizontal="center"/>
      <protection locked="0"/>
    </xf>
    <xf numFmtId="3" fontId="99"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2" fillId="0" borderId="22" xfId="3" applyNumberFormat="1" applyFont="1" applyBorder="1" applyAlignment="1" applyProtection="1">
      <alignment horizontal="left" vertical="center" wrapText="1"/>
      <protection locked="0"/>
    </xf>
    <xf numFmtId="3" fontId="12" fillId="0" borderId="22" xfId="3" applyNumberFormat="1" applyFont="1" applyBorder="1" applyAlignment="1" applyProtection="1">
      <alignment horizontal="left" vertical="center" wrapText="1"/>
      <protection locked="0"/>
    </xf>
    <xf numFmtId="169" fontId="12" fillId="0" borderId="22" xfId="3" applyNumberFormat="1" applyFont="1" applyBorder="1" applyAlignment="1" applyProtection="1">
      <alignment horizontal="center"/>
      <protection locked="0"/>
    </xf>
    <xf numFmtId="3" fontId="12" fillId="0" borderId="166" xfId="3" applyNumberFormat="1" applyFont="1" applyBorder="1" applyAlignment="1" applyProtection="1">
      <alignment horizontal="left" vertical="center" wrapText="1"/>
      <protection locked="0"/>
    </xf>
    <xf numFmtId="3" fontId="12" fillId="0" borderId="166" xfId="3" applyNumberFormat="1" applyFont="1" applyBorder="1" applyAlignment="1" applyProtection="1">
      <alignment horizontal="left" vertical="center" wrapText="1"/>
      <protection locked="0"/>
    </xf>
    <xf numFmtId="169" fontId="12" fillId="0" borderId="166" xfId="3" applyNumberFormat="1" applyFont="1" applyBorder="1" applyAlignment="1" applyProtection="1">
      <alignment horizontal="center"/>
      <protection locked="0"/>
    </xf>
    <xf numFmtId="3" fontId="12" fillId="0" borderId="166" xfId="3" applyNumberFormat="1" applyFont="1" applyBorder="1" applyAlignment="1" applyProtection="1">
      <alignment horizontal="left" vertical="center" wrapText="1"/>
      <protection locked="0"/>
    </xf>
    <xf numFmtId="3" fontId="12" fillId="0" borderId="167" xfId="3" applyNumberFormat="1" applyFont="1" applyBorder="1" applyAlignment="1" applyProtection="1">
      <alignment horizontal="left" vertical="center" wrapText="1"/>
      <protection locked="0"/>
    </xf>
    <xf numFmtId="169" fontId="12" fillId="0" borderId="167" xfId="3" applyNumberFormat="1" applyFont="1" applyBorder="1" applyAlignment="1" applyProtection="1">
      <alignment horizontal="center"/>
      <protection locked="0"/>
    </xf>
    <xf numFmtId="3" fontId="12" fillId="0" borderId="167"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3" fontId="12" fillId="0" borderId="168" xfId="3" applyNumberFormat="1" applyFont="1" applyBorder="1" applyAlignment="1" applyProtection="1">
      <alignment horizontal="left" vertical="center" wrapText="1"/>
      <protection locked="0"/>
    </xf>
    <xf numFmtId="169" fontId="12" fillId="0" borderId="168" xfId="3" applyNumberFormat="1" applyFont="1" applyBorder="1" applyAlignment="1" applyProtection="1">
      <alignment horizontal="center"/>
      <protection locked="0"/>
    </xf>
    <xf numFmtId="169" fontId="12" fillId="0" borderId="168" xfId="3" applyNumberFormat="1" applyFont="1" applyBorder="1" applyAlignment="1" applyProtection="1">
      <alignment horizontal="center"/>
      <protection locked="0"/>
    </xf>
    <xf numFmtId="3" fontId="12" fillId="0" borderId="168" xfId="3" applyNumberFormat="1" applyFont="1" applyBorder="1" applyAlignment="1" applyProtection="1">
      <alignment horizontal="left" vertical="center" wrapText="1"/>
      <protection locked="0"/>
    </xf>
    <xf numFmtId="169" fontId="12" fillId="0" borderId="169" xfId="3" applyNumberFormat="1" applyFont="1" applyBorder="1" applyAlignment="1" applyProtection="1">
      <alignment horizontal="center"/>
      <protection locked="0"/>
    </xf>
    <xf numFmtId="3" fontId="12" fillId="0" borderId="169" xfId="3" applyNumberFormat="1" applyFont="1" applyBorder="1" applyAlignment="1" applyProtection="1">
      <alignment horizontal="left" vertical="center" wrapText="1"/>
      <protection locked="0"/>
    </xf>
    <xf numFmtId="169" fontId="12" fillId="0" borderId="167" xfId="3" applyNumberFormat="1" applyFont="1" applyBorder="1" applyAlignment="1" applyProtection="1">
      <alignment horizontal="center"/>
      <protection locked="0"/>
    </xf>
    <xf numFmtId="3" fontId="12" fillId="0" borderId="167" xfId="3" applyNumberFormat="1" applyFont="1" applyBorder="1" applyAlignment="1" applyProtection="1">
      <alignment horizontal="left" vertical="center" wrapText="1"/>
      <protection locked="0"/>
    </xf>
    <xf numFmtId="0" fontId="55" fillId="0" borderId="0" xfId="3" applyFont="1" applyAlignment="1" applyProtection="1">
      <alignment horizontal="center" vertical="center"/>
    </xf>
    <xf numFmtId="0" fontId="58" fillId="0" borderId="0" xfId="3" applyFont="1" applyBorder="1" applyAlignment="1" applyProtection="1">
      <alignment horizontal="left" wrapText="1"/>
      <protection locked="0"/>
    </xf>
    <xf numFmtId="0" fontId="58" fillId="0" borderId="0" xfId="3" applyFont="1" applyAlignment="1" applyProtection="1">
      <alignment horizontal="left" wrapText="1"/>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58" fillId="0" borderId="0" xfId="0" applyFont="1" applyAlignment="1">
      <alignment horizontal="center"/>
    </xf>
    <xf numFmtId="0" fontId="76" fillId="0" borderId="0" xfId="0" applyFont="1" applyAlignment="1">
      <alignment horizontal="center"/>
    </xf>
    <xf numFmtId="44" fontId="58" fillId="0" borderId="170" xfId="48" applyFont="1" applyBorder="1"/>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43" fontId="58" fillId="0" borderId="0" xfId="48" applyNumberFormat="1" applyFont="1"/>
    <xf numFmtId="43" fontId="58" fillId="0" borderId="0" xfId="1" applyNumberFormat="1" applyFont="1"/>
    <xf numFmtId="43" fontId="58" fillId="0" borderId="0" xfId="48" applyNumberFormat="1" applyFont="1" applyBorder="1"/>
    <xf numFmtId="43" fontId="58" fillId="0" borderId="0" xfId="0" applyNumberFormat="1" applyFont="1"/>
    <xf numFmtId="44" fontId="58" fillId="0" borderId="171" xfId="48"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Fill="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49">
    <cellStyle name="Comma" xfId="1" builtinId="3"/>
    <cellStyle name="Comma 2" xfId="27"/>
    <cellStyle name="Currency" xfId="48" builtinId="4"/>
    <cellStyle name="Currency 2" xfId="24"/>
    <cellStyle name="Currency 3" xfId="32"/>
    <cellStyle name="Currency 4" xfId="35"/>
    <cellStyle name="Currency 5" xfId="33"/>
    <cellStyle name="Currency 6" xfId="25"/>
    <cellStyle name="Hyperlink" xfId="2" builtinId="8"/>
    <cellStyle name="Hyperlink 2" xfId="15"/>
    <cellStyle name="Normal" xfId="0" builtinId="0"/>
    <cellStyle name="Normal 2" xfId="3"/>
    <cellStyle name="Normal 3" xfId="4"/>
    <cellStyle name="Normal 3 2" xfId="14"/>
    <cellStyle name="Normal 3 2 2" xfId="18"/>
    <cellStyle name="Normal 3 2 2 2" xfId="34"/>
    <cellStyle name="Normal 3 2 2 2 2" xfId="46"/>
    <cellStyle name="Normal 3 2 2 3" xfId="23"/>
    <cellStyle name="Normal 3 2 2 4" xfId="41"/>
    <cellStyle name="Normal 3 2 3" xfId="30"/>
    <cellStyle name="Normal 3 2 3 2" xfId="44"/>
    <cellStyle name="Normal 3 2 4" xfId="20"/>
    <cellStyle name="Normal 3 2 5" xfId="38"/>
    <cellStyle name="Normal 3 3" xfId="22"/>
    <cellStyle name="Normal 3 3 2" xfId="36"/>
    <cellStyle name="Normal 3 3 2 2" xfId="47"/>
    <cellStyle name="Normal 3 3 3" xfId="40"/>
    <cellStyle name="Normal 3 4" xfId="31"/>
    <cellStyle name="Normal 3 4 2" xfId="45"/>
    <cellStyle name="Normal 3 5" xfId="26"/>
    <cellStyle name="Normal 3 5 2" xfId="42"/>
    <cellStyle name="Normal 3 6" xfId="19"/>
    <cellStyle name="Normal 3 7" xfId="37"/>
    <cellStyle name="Normal 4" xfId="16"/>
    <cellStyle name="Normal 4 2" xfId="29"/>
    <cellStyle name="Normal 4 2 2" xfId="43"/>
    <cellStyle name="Normal 4 3" xfId="21"/>
    <cellStyle name="Normal 4 4" xfId="39"/>
    <cellStyle name="Normal 5" xfId="17"/>
    <cellStyle name="Normal 5 2" xfId="2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7" t="s">
        <v>424</v>
      </c>
      <c r="J1" s="2038"/>
      <c r="K1" s="2038"/>
      <c r="L1" s="2038"/>
      <c r="M1" s="2038"/>
      <c r="N1" s="2038"/>
      <c r="O1" s="2038"/>
      <c r="P1" s="2038"/>
      <c r="Q1" s="2038"/>
      <c r="R1" s="2038"/>
      <c r="S1" s="2038"/>
    </row>
    <row r="2" spans="1:28" ht="12" customHeight="1" x14ac:dyDescent="0.2">
      <c r="A2" s="47" t="s">
        <v>1683</v>
      </c>
      <c r="D2" s="48"/>
      <c r="I2" s="2039" t="s">
        <v>1035</v>
      </c>
      <c r="J2" s="2038"/>
      <c r="K2" s="2038"/>
      <c r="L2" s="2038"/>
      <c r="M2" s="2038"/>
      <c r="N2" s="2038"/>
      <c r="O2" s="2038"/>
      <c r="P2" s="2038"/>
      <c r="Q2" s="2038"/>
      <c r="R2" s="2038"/>
      <c r="S2" s="2038"/>
    </row>
    <row r="3" spans="1:28" ht="12" customHeight="1" x14ac:dyDescent="0.2">
      <c r="A3" s="155" t="s">
        <v>1684</v>
      </c>
      <c r="B3" s="156"/>
      <c r="C3" s="156"/>
      <c r="D3" s="157"/>
      <c r="I3" s="2039" t="s">
        <v>54</v>
      </c>
      <c r="J3" s="2038"/>
      <c r="K3" s="2038"/>
      <c r="L3" s="2038"/>
      <c r="M3" s="2038"/>
      <c r="N3" s="2038"/>
      <c r="O3" s="2038"/>
      <c r="P3" s="2038"/>
      <c r="Q3" s="2038"/>
      <c r="R3" s="2038"/>
      <c r="S3" s="2038"/>
    </row>
    <row r="4" spans="1:28" ht="12" customHeight="1" x14ac:dyDescent="0.2">
      <c r="A4" s="37"/>
      <c r="I4" s="2039" t="s">
        <v>544</v>
      </c>
      <c r="J4" s="2038"/>
      <c r="K4" s="2038"/>
      <c r="L4" s="2038"/>
      <c r="M4" s="2038"/>
      <c r="N4" s="2038"/>
      <c r="O4" s="2038"/>
      <c r="P4" s="2038"/>
      <c r="Q4" s="2038"/>
      <c r="R4" s="2038"/>
      <c r="S4" s="2038"/>
    </row>
    <row r="5" spans="1:28" ht="14.1" customHeight="1" x14ac:dyDescent="0.2">
      <c r="B5" s="104" t="s">
        <v>2073</v>
      </c>
      <c r="C5" s="26" t="s">
        <v>965</v>
      </c>
      <c r="D5" s="84"/>
      <c r="E5" s="84"/>
      <c r="H5" s="38"/>
      <c r="I5" s="2047" t="s">
        <v>700</v>
      </c>
      <c r="J5" s="2046"/>
      <c r="K5" s="2046"/>
      <c r="L5" s="2046"/>
      <c r="M5" s="2046"/>
      <c r="N5" s="2046"/>
      <c r="O5" s="2046"/>
      <c r="P5" s="2046"/>
      <c r="Q5" s="2046"/>
      <c r="R5" s="2046"/>
      <c r="S5" s="2046"/>
    </row>
    <row r="6" spans="1:28" ht="14.1" customHeight="1" x14ac:dyDescent="0.2">
      <c r="B6" s="104"/>
      <c r="C6" s="26" t="s">
        <v>966</v>
      </c>
      <c r="D6" s="84"/>
      <c r="E6" s="84"/>
      <c r="I6" s="2045" t="s">
        <v>937</v>
      </c>
      <c r="J6" s="2046"/>
      <c r="K6" s="2046"/>
      <c r="L6" s="2046"/>
      <c r="M6" s="2046"/>
      <c r="N6" s="2046"/>
      <c r="O6" s="2046"/>
      <c r="P6" s="2046"/>
      <c r="Q6" s="2046"/>
      <c r="R6" s="2046"/>
      <c r="S6" s="2046"/>
    </row>
    <row r="7" spans="1:28" ht="12.2" customHeight="1" x14ac:dyDescent="0.2">
      <c r="I7" s="2040">
        <v>43281</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694</v>
      </c>
      <c r="J9" s="2043"/>
      <c r="K9" s="2043"/>
      <c r="L9" s="2043"/>
      <c r="M9" s="2043"/>
      <c r="N9" s="2043"/>
      <c r="O9" s="2043"/>
      <c r="P9" s="2043"/>
      <c r="Q9" s="2043"/>
      <c r="R9" s="2043"/>
      <c r="S9" s="2044"/>
      <c r="T9" s="2058" t="s">
        <v>553</v>
      </c>
      <c r="U9" s="2059"/>
      <c r="V9" s="2059"/>
      <c r="W9" s="2059"/>
      <c r="X9" s="2059"/>
      <c r="Y9" s="2059"/>
      <c r="Z9" s="2059"/>
      <c r="AA9" s="2060"/>
    </row>
    <row r="10" spans="1:28" ht="13.5" customHeight="1" x14ac:dyDescent="0.2">
      <c r="A10" s="2065" t="s">
        <v>695</v>
      </c>
      <c r="B10" s="2066"/>
      <c r="C10" s="2066"/>
      <c r="D10" s="2066"/>
      <c r="E10" s="2066"/>
      <c r="F10" s="2066"/>
      <c r="G10" s="2066"/>
      <c r="H10" s="2067"/>
      <c r="I10" s="29"/>
      <c r="J10" s="30"/>
      <c r="K10" s="28"/>
      <c r="R10" s="30"/>
      <c r="S10" s="30"/>
      <c r="T10" s="2061"/>
      <c r="U10" s="2046"/>
      <c r="V10" s="2046"/>
      <c r="W10" s="2046"/>
      <c r="X10" s="2046"/>
      <c r="Y10" s="2046"/>
      <c r="Z10" s="2046"/>
      <c r="AA10" s="2052"/>
    </row>
    <row r="11" spans="1:28" ht="14.25" customHeight="1" x14ac:dyDescent="0.2">
      <c r="A11" s="2068" t="s">
        <v>1011</v>
      </c>
      <c r="B11" s="2069"/>
      <c r="C11" s="2069"/>
      <c r="D11" s="2069"/>
      <c r="E11" s="2069"/>
      <c r="F11" s="2069"/>
      <c r="G11" s="2069"/>
      <c r="H11" s="2070"/>
      <c r="I11" s="27"/>
      <c r="J11" s="74"/>
      <c r="K11" s="27"/>
      <c r="O11" s="148" t="s">
        <v>2073</v>
      </c>
      <c r="P11" s="100" t="s">
        <v>210</v>
      </c>
      <c r="Q11" s="30"/>
      <c r="R11" s="28"/>
      <c r="S11" s="27"/>
      <c r="T11" s="2062"/>
      <c r="U11" s="2063"/>
      <c r="V11" s="2063"/>
      <c r="W11" s="2063"/>
      <c r="X11" s="2063"/>
      <c r="Y11" s="2063"/>
      <c r="Z11" s="2063"/>
      <c r="AA11" s="2064"/>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72">
        <v>8008314026</v>
      </c>
      <c r="B13" s="2073"/>
      <c r="C13" s="2073"/>
      <c r="D13" s="2073"/>
      <c r="E13" s="2073"/>
      <c r="F13" s="2073"/>
      <c r="G13" s="2073"/>
      <c r="H13" s="2074"/>
      <c r="I13" s="31"/>
      <c r="J13" s="30"/>
      <c r="K13" s="28"/>
      <c r="L13" s="30"/>
      <c r="M13" s="30"/>
      <c r="N13" s="30"/>
      <c r="O13" s="30"/>
      <c r="P13" s="30"/>
      <c r="Q13" s="30"/>
      <c r="R13" s="30"/>
      <c r="S13" s="30"/>
      <c r="T13" s="2077" t="s">
        <v>2079</v>
      </c>
      <c r="U13" s="2078"/>
      <c r="V13" s="2078"/>
      <c r="W13" s="2078"/>
      <c r="X13" s="2078"/>
      <c r="Y13" s="2079"/>
      <c r="Z13" s="2079"/>
      <c r="AA13" s="2080"/>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71" t="s">
        <v>2074</v>
      </c>
      <c r="B15" s="2075"/>
      <c r="C15" s="2075"/>
      <c r="D15" s="2075"/>
      <c r="E15" s="2075"/>
      <c r="F15" s="2075"/>
      <c r="G15" s="2075"/>
      <c r="H15" s="2076"/>
      <c r="T15" s="2081" t="s">
        <v>2080</v>
      </c>
      <c r="U15" s="2025"/>
      <c r="V15" s="2025"/>
      <c r="W15" s="2025"/>
      <c r="X15" s="2025"/>
      <c r="Y15" s="2082"/>
      <c r="Z15" s="2082"/>
      <c r="AA15" s="208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31" t="s">
        <v>2249</v>
      </c>
      <c r="B17" s="2032"/>
      <c r="C17" s="2032"/>
      <c r="D17" s="2032"/>
      <c r="E17" s="2032"/>
      <c r="F17" s="2032"/>
      <c r="G17" s="2032"/>
      <c r="H17" s="2057"/>
      <c r="T17" s="2088" t="s">
        <v>2081</v>
      </c>
      <c r="U17" s="2089"/>
      <c r="V17" s="2089"/>
      <c r="W17" s="2089"/>
      <c r="X17" s="2089"/>
      <c r="Y17" s="2089"/>
      <c r="Z17" s="2089"/>
      <c r="AA17" s="2090"/>
    </row>
    <row r="18" spans="1:27" ht="13.5" customHeight="1" x14ac:dyDescent="0.2">
      <c r="A18" s="85" t="s">
        <v>550</v>
      </c>
      <c r="B18" s="76"/>
      <c r="C18" s="72"/>
      <c r="D18" s="76"/>
      <c r="E18" s="76"/>
      <c r="F18" s="76"/>
      <c r="G18" s="76"/>
      <c r="H18" s="56"/>
      <c r="I18" s="2056" t="s">
        <v>696</v>
      </c>
      <c r="J18" s="2007"/>
      <c r="K18" s="2007"/>
      <c r="L18" s="2007"/>
      <c r="M18" s="2007"/>
      <c r="N18" s="2007"/>
      <c r="O18" s="2007"/>
      <c r="P18" s="2007"/>
      <c r="Q18" s="2007"/>
      <c r="R18" s="2007"/>
      <c r="S18" s="2008"/>
      <c r="T18" s="85" t="s">
        <v>734</v>
      </c>
      <c r="U18" s="51"/>
      <c r="V18" s="72"/>
      <c r="W18" s="50"/>
      <c r="X18" s="85" t="s">
        <v>283</v>
      </c>
      <c r="Y18" s="81"/>
      <c r="Z18" s="159" t="s">
        <v>697</v>
      </c>
      <c r="AA18" s="46"/>
    </row>
    <row r="19" spans="1:27" ht="13.5" customHeight="1" x14ac:dyDescent="0.2">
      <c r="A19" s="2071" t="s">
        <v>2198</v>
      </c>
      <c r="B19" s="2017"/>
      <c r="C19" s="2017"/>
      <c r="D19" s="2017"/>
      <c r="E19" s="2017"/>
      <c r="F19" s="2017"/>
      <c r="G19" s="2017"/>
      <c r="H19" s="1997"/>
      <c r="I19" s="30"/>
      <c r="J19" s="99"/>
      <c r="K19" s="40"/>
      <c r="L19" s="38"/>
      <c r="M19" s="112" t="s">
        <v>332</v>
      </c>
      <c r="P19" s="27"/>
      <c r="Q19" s="27"/>
      <c r="R19" s="27"/>
      <c r="S19" s="31"/>
      <c r="T19" s="2071" t="s">
        <v>2082</v>
      </c>
      <c r="U19" s="1996"/>
      <c r="V19" s="1996"/>
      <c r="W19" s="1997"/>
      <c r="X19" s="2086" t="s">
        <v>2083</v>
      </c>
      <c r="Y19" s="2087"/>
      <c r="Z19" s="2084">
        <v>61032</v>
      </c>
      <c r="AA19" s="208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5" t="s">
        <v>2075</v>
      </c>
      <c r="B21" s="1996"/>
      <c r="C21" s="1996"/>
      <c r="D21" s="1996"/>
      <c r="E21" s="1996"/>
      <c r="F21" s="1996"/>
      <c r="G21" s="1996"/>
      <c r="H21" s="1997"/>
      <c r="I21" s="2051" t="s">
        <v>698</v>
      </c>
      <c r="J21" s="2046"/>
      <c r="K21" s="2046"/>
      <c r="L21" s="2046"/>
      <c r="M21" s="2046"/>
      <c r="N21" s="2046"/>
      <c r="O21" s="2046"/>
      <c r="P21" s="2046"/>
      <c r="Q21" s="2046"/>
      <c r="R21" s="2046"/>
      <c r="S21" s="2052"/>
      <c r="T21" s="2095">
        <v>8152353157</v>
      </c>
      <c r="U21" s="2096"/>
      <c r="V21" s="2096"/>
      <c r="W21" s="2096"/>
      <c r="X21" s="2101">
        <v>8152353158</v>
      </c>
      <c r="Y21" s="2102"/>
      <c r="Z21" s="2102"/>
      <c r="AA21" s="2103"/>
    </row>
    <row r="22" spans="1:27" ht="13.5" customHeight="1" x14ac:dyDescent="0.2">
      <c r="A22" s="87" t="s">
        <v>551</v>
      </c>
      <c r="B22" s="59"/>
      <c r="C22" s="59"/>
      <c r="D22" s="59"/>
      <c r="E22" s="59"/>
      <c r="F22" s="59"/>
      <c r="G22" s="59"/>
      <c r="H22" s="60"/>
      <c r="I22" s="2053" t="s">
        <v>1503</v>
      </c>
      <c r="J22" s="2054"/>
      <c r="K22" s="2054"/>
      <c r="L22" s="2054"/>
      <c r="M22" s="2054"/>
      <c r="N22" s="2054"/>
      <c r="O22" s="2054"/>
      <c r="P22" s="2054"/>
      <c r="Q22" s="2054"/>
      <c r="R22" s="2054"/>
      <c r="S22" s="2055"/>
      <c r="T22" s="85" t="s">
        <v>1595</v>
      </c>
      <c r="U22" s="51"/>
      <c r="V22" s="72"/>
      <c r="W22" s="51"/>
      <c r="X22" s="160" t="s">
        <v>1384</v>
      </c>
      <c r="Z22" s="45"/>
      <c r="AA22" s="46"/>
    </row>
    <row r="23" spans="1:27" ht="13.5" customHeight="1" x14ac:dyDescent="0.2">
      <c r="A23" s="2048"/>
      <c r="B23" s="2049"/>
      <c r="C23" s="2049"/>
      <c r="D23" s="2049"/>
      <c r="E23" s="2049"/>
      <c r="F23" s="2049"/>
      <c r="G23" s="2049"/>
      <c r="H23" s="2050"/>
      <c r="T23" s="2031" t="s">
        <v>2084</v>
      </c>
      <c r="U23" s="2094"/>
      <c r="V23" s="2094"/>
      <c r="W23" s="2094"/>
      <c r="X23" s="2098">
        <v>43434</v>
      </c>
      <c r="Y23" s="2099"/>
      <c r="Z23" s="2099"/>
      <c r="AA23" s="2100"/>
    </row>
    <row r="24" spans="1:27" ht="14.1" customHeight="1" x14ac:dyDescent="0.2">
      <c r="A24" s="88" t="s">
        <v>697</v>
      </c>
      <c r="B24" s="49"/>
      <c r="C24" s="49"/>
      <c r="D24" s="49"/>
      <c r="E24" s="49"/>
      <c r="F24" s="49"/>
      <c r="G24" s="49"/>
      <c r="H24" s="61"/>
      <c r="J24" s="2018">
        <f>IF(B5="x",IF(AUDITCHECK!D29="AFR form Incomplete.","",IF(AUDITCHECK!D29="Deficit reduction plan is required.","School District must complete a deficit reduction plan in the 2018-2019 Budget",)),"")</f>
        <v>0</v>
      </c>
      <c r="K24" s="2018"/>
      <c r="L24" s="2018"/>
      <c r="M24" s="2018"/>
      <c r="N24" s="2018"/>
      <c r="O24" s="2018"/>
      <c r="P24" s="2018"/>
      <c r="Q24" s="2018"/>
      <c r="R24" s="2018"/>
      <c r="S24" s="2019"/>
      <c r="T24" s="105" t="s">
        <v>551</v>
      </c>
      <c r="U24" s="106"/>
      <c r="V24" s="106"/>
      <c r="W24" s="106"/>
      <c r="X24" s="107"/>
      <c r="Y24" s="107"/>
      <c r="Z24" s="107"/>
      <c r="AA24" s="108"/>
    </row>
    <row r="25" spans="1:27" ht="14.1" customHeight="1" x14ac:dyDescent="0.2">
      <c r="A25" s="1995">
        <v>61053</v>
      </c>
      <c r="B25" s="1996"/>
      <c r="C25" s="1996"/>
      <c r="D25" s="1996"/>
      <c r="E25" s="1996"/>
      <c r="F25" s="1996"/>
      <c r="G25" s="1996"/>
      <c r="H25" s="1997"/>
      <c r="I25" s="113"/>
      <c r="J25" s="2020"/>
      <c r="K25" s="2020"/>
      <c r="L25" s="2020"/>
      <c r="M25" s="2020"/>
      <c r="N25" s="2020"/>
      <c r="O25" s="2020"/>
      <c r="P25" s="2020"/>
      <c r="Q25" s="2020"/>
      <c r="R25" s="2020"/>
      <c r="S25" s="2021"/>
      <c r="T25" s="2091" t="s">
        <v>2085</v>
      </c>
      <c r="U25" s="2092"/>
      <c r="V25" s="2092"/>
      <c r="W25" s="2092"/>
      <c r="X25" s="2092"/>
      <c r="Y25" s="2092"/>
      <c r="Z25" s="2092"/>
      <c r="AA25" s="209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06" t="s">
        <v>1590</v>
      </c>
      <c r="J27" s="2007"/>
      <c r="K27" s="2007"/>
      <c r="L27" s="2007"/>
      <c r="M27" s="2007"/>
      <c r="N27" s="2007"/>
      <c r="O27" s="2007"/>
      <c r="P27" s="2007"/>
      <c r="Q27" s="2007"/>
      <c r="R27" s="2007"/>
      <c r="S27" s="200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7"/>
      <c r="Q35" s="1996"/>
      <c r="R35" s="199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31" t="s">
        <v>2077</v>
      </c>
      <c r="B38" s="2032"/>
      <c r="C38" s="2032"/>
      <c r="D38" s="2032"/>
      <c r="E38" s="2032"/>
      <c r="F38" s="1996"/>
      <c r="G38" s="1996"/>
      <c r="H38" s="1997"/>
      <c r="I38" s="2024"/>
      <c r="J38" s="2025"/>
      <c r="K38" s="2025"/>
      <c r="L38" s="2025"/>
      <c r="M38" s="2025"/>
      <c r="N38" s="2025"/>
      <c r="O38" s="2025"/>
      <c r="P38" s="2026"/>
      <c r="Q38" s="2026"/>
      <c r="R38" s="2026"/>
      <c r="S38" s="2027"/>
      <c r="T38" s="2081" t="s">
        <v>2086</v>
      </c>
      <c r="U38" s="2025"/>
      <c r="V38" s="2025"/>
      <c r="W38" s="2025"/>
      <c r="X38" s="2026"/>
      <c r="Y38" s="2026"/>
      <c r="Z38" s="2026"/>
      <c r="AA38" s="2027"/>
    </row>
    <row r="39" spans="1:27" ht="12" customHeight="1" x14ac:dyDescent="0.2">
      <c r="A39" s="2001" t="s">
        <v>551</v>
      </c>
      <c r="B39" s="2002"/>
      <c r="C39" s="72"/>
      <c r="D39" s="69"/>
      <c r="E39" s="69"/>
      <c r="F39" s="79"/>
      <c r="G39" s="69"/>
      <c r="H39" s="56"/>
      <c r="I39" s="2001" t="s">
        <v>551</v>
      </c>
      <c r="J39" s="2002"/>
      <c r="K39" s="2002"/>
      <c r="L39" s="2002"/>
      <c r="M39" s="2002"/>
      <c r="N39" s="67"/>
      <c r="O39" s="72"/>
      <c r="P39" s="72"/>
      <c r="Q39" s="78"/>
      <c r="R39" s="72"/>
      <c r="S39" s="56"/>
      <c r="T39" s="72" t="s">
        <v>551</v>
      </c>
      <c r="U39" s="51"/>
      <c r="V39" s="72"/>
      <c r="W39" s="50"/>
      <c r="X39" s="78"/>
      <c r="Y39" s="45"/>
      <c r="Z39" s="45"/>
      <c r="AA39" s="46"/>
    </row>
    <row r="40" spans="1:27" ht="13.5" customHeight="1" x14ac:dyDescent="0.2">
      <c r="A40" s="2009" t="s">
        <v>2076</v>
      </c>
      <c r="B40" s="2010"/>
      <c r="C40" s="2011"/>
      <c r="D40" s="2011"/>
      <c r="E40" s="2011"/>
      <c r="F40" s="2012"/>
      <c r="G40" s="2012"/>
      <c r="H40" s="2013"/>
      <c r="I40" s="2034"/>
      <c r="J40" s="2035"/>
      <c r="K40" s="2035"/>
      <c r="L40" s="2035"/>
      <c r="M40" s="2035"/>
      <c r="N40" s="2035"/>
      <c r="O40" s="2035"/>
      <c r="P40" s="2035"/>
      <c r="Q40" s="2035"/>
      <c r="R40" s="2035"/>
      <c r="S40" s="2036"/>
      <c r="T40" s="2034" t="s">
        <v>2087</v>
      </c>
      <c r="U40" s="2097"/>
      <c r="V40" s="2035"/>
      <c r="W40" s="2035"/>
      <c r="X40" s="2035"/>
      <c r="Y40" s="2035"/>
      <c r="Z40" s="2035"/>
      <c r="AA40" s="203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23">
        <v>8152440207</v>
      </c>
      <c r="B42" s="2015"/>
      <c r="C42" s="2016"/>
      <c r="D42" s="2014">
        <v>8152440211</v>
      </c>
      <c r="E42" s="2015"/>
      <c r="F42" s="2015"/>
      <c r="G42" s="2015"/>
      <c r="H42" s="2016"/>
      <c r="I42" s="1998"/>
      <c r="J42" s="1999"/>
      <c r="K42" s="1999"/>
      <c r="L42" s="1999"/>
      <c r="M42" s="1999"/>
      <c r="N42" s="1999"/>
      <c r="O42" s="2000"/>
      <c r="P42" s="2033"/>
      <c r="Q42" s="1999"/>
      <c r="R42" s="1999"/>
      <c r="S42" s="2000"/>
      <c r="T42" s="1998">
        <v>8155991408</v>
      </c>
      <c r="U42" s="1999"/>
      <c r="V42" s="1999"/>
      <c r="W42" s="2000"/>
      <c r="X42" s="2033">
        <v>8152979032</v>
      </c>
      <c r="Y42" s="1999"/>
      <c r="Z42" s="1999"/>
      <c r="AA42" s="2000"/>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28"/>
      <c r="B44" s="2029"/>
      <c r="C44" s="2029"/>
      <c r="D44" s="2029"/>
      <c r="E44" s="2029"/>
      <c r="F44" s="2029"/>
      <c r="G44" s="2029"/>
      <c r="H44" s="2030"/>
      <c r="I44" s="2003"/>
      <c r="J44" s="2004"/>
      <c r="K44" s="2004"/>
      <c r="L44" s="2004"/>
      <c r="M44" s="2004"/>
      <c r="N44" s="2004"/>
      <c r="O44" s="2004"/>
      <c r="P44" s="2004"/>
      <c r="Q44" s="2004"/>
      <c r="R44" s="2004"/>
      <c r="S44" s="2005"/>
      <c r="T44" s="2003"/>
      <c r="U44" s="2022"/>
      <c r="V44" s="2022"/>
      <c r="W44" s="2022"/>
      <c r="X44" s="2022"/>
      <c r="Y44" s="2022"/>
      <c r="Z44" s="2004"/>
      <c r="AA44" s="2005"/>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10" colorId="8" zoomScale="110" zoomScaleNormal="110" workbookViewId="0">
      <selection activeCell="I22" sqref="I22:S2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37" t="s">
        <v>1901</v>
      </c>
      <c r="B2" s="1550" t="s">
        <v>2033</v>
      </c>
      <c r="C2" s="715" t="s">
        <v>1906</v>
      </c>
      <c r="D2" s="715" t="s">
        <v>1907</v>
      </c>
      <c r="E2" s="715" t="s">
        <v>1908</v>
      </c>
      <c r="F2" s="715" t="s">
        <v>1909</v>
      </c>
    </row>
    <row r="3" spans="1:6" ht="12" customHeight="1" x14ac:dyDescent="0.2">
      <c r="A3" s="2238"/>
      <c r="B3" s="1547"/>
      <c r="C3" s="1548"/>
      <c r="D3" s="1549" t="s">
        <v>274</v>
      </c>
      <c r="E3" s="1548"/>
      <c r="F3" s="1549" t="s">
        <v>275</v>
      </c>
    </row>
    <row r="4" spans="1:6" ht="13.7" customHeight="1" x14ac:dyDescent="0.2">
      <c r="A4" s="716" t="s">
        <v>1216</v>
      </c>
      <c r="B4" s="1771">
        <f>'Revenues 9-14'!C5</f>
        <v>3024125</v>
      </c>
      <c r="C4" s="1546">
        <v>804543</v>
      </c>
      <c r="D4" s="1774">
        <f>B4-C4</f>
        <v>2219582</v>
      </c>
      <c r="E4" s="1546">
        <v>3431699</v>
      </c>
      <c r="F4" s="1774">
        <f>E4-C4</f>
        <v>2627156</v>
      </c>
    </row>
    <row r="5" spans="1:6" ht="13.7" customHeight="1" x14ac:dyDescent="0.2">
      <c r="A5" s="716" t="s">
        <v>924</v>
      </c>
      <c r="B5" s="1772">
        <f>'Revenues 9-14'!D5</f>
        <v>541962</v>
      </c>
      <c r="C5" s="585">
        <v>144184</v>
      </c>
      <c r="D5" s="1775">
        <f t="shared" ref="D5:D18" si="0">B5-C5</f>
        <v>397778</v>
      </c>
      <c r="E5" s="585">
        <v>615003</v>
      </c>
      <c r="F5" s="1775">
        <f>E5-C5</f>
        <v>470819</v>
      </c>
    </row>
    <row r="6" spans="1:6" ht="13.7" customHeight="1" x14ac:dyDescent="0.2">
      <c r="A6" s="716" t="s">
        <v>430</v>
      </c>
      <c r="B6" s="1772">
        <f>'Revenues 9-14'!E5</f>
        <v>1437402</v>
      </c>
      <c r="C6" s="585">
        <v>326948</v>
      </c>
      <c r="D6" s="1775">
        <f t="shared" si="0"/>
        <v>1110454</v>
      </c>
      <c r="E6" s="585">
        <v>1394532</v>
      </c>
      <c r="F6" s="1775">
        <f t="shared" ref="F6:F18" si="1">E6-C6</f>
        <v>1067584</v>
      </c>
    </row>
    <row r="7" spans="1:6" ht="13.7" customHeight="1" x14ac:dyDescent="0.2">
      <c r="A7" s="716" t="s">
        <v>157</v>
      </c>
      <c r="B7" s="1772">
        <f>'Revenues 9-14'!F5</f>
        <v>216790</v>
      </c>
      <c r="C7" s="585">
        <v>57676</v>
      </c>
      <c r="D7" s="1775">
        <f t="shared" si="0"/>
        <v>159114</v>
      </c>
      <c r="E7" s="585">
        <v>246008</v>
      </c>
      <c r="F7" s="1775">
        <f t="shared" si="1"/>
        <v>188332</v>
      </c>
    </row>
    <row r="8" spans="1:6" ht="13.7" customHeight="1" x14ac:dyDescent="0.2">
      <c r="A8" s="716" t="s">
        <v>1240</v>
      </c>
      <c r="B8" s="1772">
        <f>'Revenues 9-14'!G5</f>
        <v>193668</v>
      </c>
      <c r="C8" s="585">
        <v>50464</v>
      </c>
      <c r="D8" s="1775">
        <f t="shared" si="0"/>
        <v>143204</v>
      </c>
      <c r="E8" s="585">
        <v>215250</v>
      </c>
      <c r="F8" s="1775">
        <f t="shared" si="1"/>
        <v>164786</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54199</v>
      </c>
      <c r="C10" s="585">
        <v>14419</v>
      </c>
      <c r="D10" s="1775">
        <f t="shared" si="0"/>
        <v>39780</v>
      </c>
      <c r="E10" s="585">
        <v>61505</v>
      </c>
      <c r="F10" s="1775">
        <f t="shared" si="1"/>
        <v>47086</v>
      </c>
    </row>
    <row r="11" spans="1:6" x14ac:dyDescent="0.2">
      <c r="A11" s="716" t="s">
        <v>428</v>
      </c>
      <c r="B11" s="1772">
        <f>'Revenues 9-14'!J5</f>
        <v>730856</v>
      </c>
      <c r="C11" s="585">
        <v>181920</v>
      </c>
      <c r="D11" s="1775">
        <f t="shared" si="0"/>
        <v>548936</v>
      </c>
      <c r="E11" s="585">
        <v>775960</v>
      </c>
      <c r="F11" s="1775">
        <f t="shared" si="1"/>
        <v>594040</v>
      </c>
    </row>
    <row r="12" spans="1:6" ht="13.7" customHeight="1" x14ac:dyDescent="0.2">
      <c r="A12" s="716" t="s">
        <v>159</v>
      </c>
      <c r="B12" s="1772">
        <f>'Revenues 9-14'!K5</f>
        <v>54199</v>
      </c>
      <c r="C12" s="585">
        <v>14419</v>
      </c>
      <c r="D12" s="1775">
        <f t="shared" si="0"/>
        <v>39780</v>
      </c>
      <c r="E12" s="585">
        <v>61505</v>
      </c>
      <c r="F12" s="1775">
        <f t="shared" si="1"/>
        <v>47086</v>
      </c>
    </row>
    <row r="13" spans="1:6" ht="13.7" customHeight="1" x14ac:dyDescent="0.2">
      <c r="A13" s="716" t="s">
        <v>992</v>
      </c>
      <c r="B13" s="1772">
        <f>SUM('Revenues 9-14'!C6:D6)</f>
        <v>54199</v>
      </c>
      <c r="C13" s="585">
        <v>14419</v>
      </c>
      <c r="D13" s="1775">
        <f t="shared" si="0"/>
        <v>39780</v>
      </c>
      <c r="E13" s="585">
        <v>61505</v>
      </c>
      <c r="F13" s="1775">
        <f t="shared" si="1"/>
        <v>47086</v>
      </c>
    </row>
    <row r="14" spans="1:6" ht="13.7" customHeight="1" x14ac:dyDescent="0.2">
      <c r="A14" s="716" t="s">
        <v>429</v>
      </c>
      <c r="B14" s="1772">
        <f>SUM('Revenues 9-14'!C7:D7,'Revenues 9-14'!F7:H7)</f>
        <v>43361</v>
      </c>
      <c r="C14" s="585">
        <v>11536</v>
      </c>
      <c r="D14" s="1775">
        <f t="shared" si="0"/>
        <v>31825</v>
      </c>
      <c r="E14" s="585">
        <v>49209</v>
      </c>
      <c r="F14" s="1775">
        <f t="shared" si="1"/>
        <v>37673</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185713</v>
      </c>
      <c r="C16" s="585">
        <v>50464</v>
      </c>
      <c r="D16" s="1775">
        <f t="shared" si="0"/>
        <v>135249</v>
      </c>
      <c r="E16" s="585">
        <v>215250</v>
      </c>
      <c r="F16" s="1775">
        <f t="shared" si="1"/>
        <v>164786</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6536474</v>
      </c>
      <c r="C19" s="1773">
        <f>SUM(C4:C18)</f>
        <v>1670992</v>
      </c>
      <c r="D19" s="1773">
        <f>SUM(D4:D18)</f>
        <v>4865482</v>
      </c>
      <c r="E19" s="1773">
        <f>SUM(E4:E18)</f>
        <v>7127426</v>
      </c>
      <c r="F19" s="1773">
        <f>SUM(F4:F18)</f>
        <v>5456434</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activeCell="I22" sqref="I22:S2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9" t="s">
        <v>649</v>
      </c>
      <c r="B1" s="2257"/>
      <c r="C1" s="722"/>
    </row>
    <row r="2" spans="1:7" ht="33.75" x14ac:dyDescent="0.2">
      <c r="A2" s="2264" t="s">
        <v>1901</v>
      </c>
      <c r="B2" s="2265"/>
      <c r="C2" s="1909" t="s">
        <v>2034</v>
      </c>
      <c r="D2" s="724" t="s">
        <v>2041</v>
      </c>
      <c r="E2" s="724" t="s">
        <v>2042</v>
      </c>
      <c r="F2" s="1909" t="s">
        <v>2035</v>
      </c>
    </row>
    <row r="3" spans="1:7" ht="15.75" customHeight="1" x14ac:dyDescent="0.2">
      <c r="A3" s="2266" t="s">
        <v>1175</v>
      </c>
      <c r="B3" s="2267"/>
      <c r="C3" s="2260"/>
      <c r="D3" s="2261"/>
      <c r="E3" s="2261"/>
      <c r="F3" s="2262"/>
    </row>
    <row r="4" spans="1:7" ht="12.75" customHeight="1" thickBot="1" x14ac:dyDescent="0.25">
      <c r="A4" s="2254" t="s">
        <v>650</v>
      </c>
      <c r="B4" s="2255"/>
      <c r="C4" s="581"/>
      <c r="D4" s="581"/>
      <c r="E4" s="581"/>
      <c r="F4" s="1777">
        <f>SUM(C4+D4)-E4</f>
        <v>0</v>
      </c>
    </row>
    <row r="5" spans="1:7" ht="15.75" customHeight="1" thickTop="1" x14ac:dyDescent="0.2">
      <c r="A5" s="2258" t="s">
        <v>1171</v>
      </c>
      <c r="B5" s="2253"/>
      <c r="C5" s="2247"/>
      <c r="D5" s="2248"/>
      <c r="E5" s="2248"/>
      <c r="F5" s="224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50" t="s">
        <v>651</v>
      </c>
      <c r="B15" s="2251"/>
      <c r="C15" s="1777">
        <f>SUM(C6:C14)</f>
        <v>0</v>
      </c>
      <c r="D15" s="1777">
        <f>SUM(D6:D14)</f>
        <v>0</v>
      </c>
      <c r="E15" s="1777">
        <f>SUM(E6:E14)</f>
        <v>0</v>
      </c>
      <c r="F15" s="1777">
        <f>SUM(F6:F14)</f>
        <v>0</v>
      </c>
      <c r="G15" s="552"/>
    </row>
    <row r="16" spans="1:7" s="202" customFormat="1" ht="15.75" customHeight="1" thickTop="1" x14ac:dyDescent="0.2">
      <c r="A16" s="2263" t="s">
        <v>1172</v>
      </c>
      <c r="B16" s="2253"/>
      <c r="C16" s="2247"/>
      <c r="D16" s="2248"/>
      <c r="E16" s="2248"/>
      <c r="F16" s="2249"/>
    </row>
    <row r="17" spans="1:11" ht="12.75" customHeight="1" thickBot="1" x14ac:dyDescent="0.25">
      <c r="A17" s="2245" t="s">
        <v>66</v>
      </c>
      <c r="B17" s="2246"/>
      <c r="C17" s="727"/>
      <c r="D17" s="585"/>
      <c r="E17" s="727"/>
      <c r="F17" s="1777">
        <f>SUM(C17+D17)-E17</f>
        <v>0</v>
      </c>
    </row>
    <row r="18" spans="1:11" ht="12.75" customHeight="1" thickTop="1" thickBot="1" x14ac:dyDescent="0.25">
      <c r="A18" s="2245" t="s">
        <v>6</v>
      </c>
      <c r="B18" s="2246"/>
      <c r="C18" s="727"/>
      <c r="D18" s="585"/>
      <c r="E18" s="727"/>
      <c r="F18" s="1777">
        <f>SUM(C18+D18)-E18</f>
        <v>0</v>
      </c>
    </row>
    <row r="19" spans="1:11" ht="12.75" customHeight="1" thickTop="1" thickBot="1" x14ac:dyDescent="0.25">
      <c r="A19" s="2245" t="s">
        <v>405</v>
      </c>
      <c r="B19" s="2246"/>
      <c r="C19" s="727"/>
      <c r="D19" s="585"/>
      <c r="E19" s="727"/>
      <c r="F19" s="1777">
        <f>SUM(C19+D19)-E19</f>
        <v>0</v>
      </c>
    </row>
    <row r="20" spans="1:11" ht="12.75" customHeight="1" thickTop="1" thickBot="1" x14ac:dyDescent="0.25">
      <c r="A20" s="2245" t="s">
        <v>467</v>
      </c>
      <c r="B20" s="2246"/>
      <c r="C20" s="727"/>
      <c r="D20" s="585"/>
      <c r="E20" s="727"/>
      <c r="F20" s="1777">
        <f>SUM(C20+D20)-E20</f>
        <v>0</v>
      </c>
    </row>
    <row r="21" spans="1:11" ht="14.25" thickTop="1" thickBot="1" x14ac:dyDescent="0.25">
      <c r="A21" s="2250" t="s">
        <v>652</v>
      </c>
      <c r="B21" s="2251"/>
      <c r="C21" s="1777">
        <f>SUM(C17:C20)</f>
        <v>0</v>
      </c>
      <c r="D21" s="1777">
        <f>SUM(D17:D20)</f>
        <v>0</v>
      </c>
      <c r="E21" s="1777">
        <f>SUM(E17:E20)</f>
        <v>0</v>
      </c>
      <c r="F21" s="1777">
        <f>SUM(F17:F20)</f>
        <v>0</v>
      </c>
      <c r="G21" s="552"/>
    </row>
    <row r="22" spans="1:11" ht="15.75" customHeight="1" thickTop="1" x14ac:dyDescent="0.2">
      <c r="A22" s="2252" t="s">
        <v>1173</v>
      </c>
      <c r="B22" s="2253"/>
      <c r="C22" s="2247"/>
      <c r="D22" s="2248"/>
      <c r="E22" s="2248"/>
      <c r="F22" s="2249"/>
    </row>
    <row r="23" spans="1:11" ht="13.5" thickBot="1" x14ac:dyDescent="0.25">
      <c r="A23" s="2254" t="s">
        <v>653</v>
      </c>
      <c r="B23" s="2255"/>
      <c r="C23" s="581"/>
      <c r="D23" s="581"/>
      <c r="E23" s="581"/>
      <c r="F23" s="1777">
        <f>SUM(C23+D23)-E23</f>
        <v>0</v>
      </c>
      <c r="G23" s="552"/>
    </row>
    <row r="24" spans="1:11" ht="15.75" customHeight="1" thickTop="1" x14ac:dyDescent="0.2">
      <c r="A24" s="2252" t="s">
        <v>1174</v>
      </c>
      <c r="B24" s="2253"/>
      <c r="C24" s="2247"/>
      <c r="D24" s="2248"/>
      <c r="E24" s="2248"/>
      <c r="F24" s="2249"/>
    </row>
    <row r="25" spans="1:11" ht="13.5" thickBot="1" x14ac:dyDescent="0.25">
      <c r="A25" s="2254" t="s">
        <v>654</v>
      </c>
      <c r="B25" s="2255"/>
      <c r="C25" s="581"/>
      <c r="D25" s="581"/>
      <c r="E25" s="581"/>
      <c r="F25" s="1777">
        <f>SUM(C25+D25)-E25</f>
        <v>0</v>
      </c>
      <c r="G25" s="552"/>
    </row>
    <row r="26" spans="1:11" ht="15.75" customHeight="1" thickTop="1" x14ac:dyDescent="0.2">
      <c r="A26" s="2258" t="s">
        <v>677</v>
      </c>
      <c r="B26" s="2253"/>
      <c r="C26" s="728"/>
      <c r="D26" s="728"/>
      <c r="E26" s="728"/>
      <c r="F26" s="729"/>
    </row>
    <row r="27" spans="1:11" ht="13.5" thickBot="1" x14ac:dyDescent="0.25">
      <c r="A27" s="2250" t="s">
        <v>1129</v>
      </c>
      <c r="B27" s="2251"/>
      <c r="C27" s="585"/>
      <c r="D27" s="585"/>
      <c r="E27" s="585"/>
      <c r="F27" s="1777">
        <f>SUM(C27+D27)-E27</f>
        <v>0</v>
      </c>
      <c r="G27" s="552"/>
    </row>
    <row r="28" spans="1:11" ht="7.5" customHeight="1" thickTop="1" x14ac:dyDescent="0.2">
      <c r="A28" s="594"/>
    </row>
    <row r="29" spans="1:11" ht="23.25" customHeight="1" x14ac:dyDescent="0.2">
      <c r="A29" s="2256" t="s">
        <v>602</v>
      </c>
      <c r="B29" s="2257"/>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2200</v>
      </c>
      <c r="B31" s="734">
        <v>39520</v>
      </c>
      <c r="C31" s="735">
        <v>2325000</v>
      </c>
      <c r="D31" s="736">
        <v>1</v>
      </c>
      <c r="E31" s="735">
        <v>525000</v>
      </c>
      <c r="F31" s="735"/>
      <c r="G31" s="735"/>
      <c r="H31" s="735">
        <v>525000</v>
      </c>
      <c r="I31" s="1778">
        <f>((E31+F31)-H31)+G31</f>
        <v>0</v>
      </c>
      <c r="J31" s="735"/>
      <c r="K31" s="737"/>
    </row>
    <row r="32" spans="1:11" ht="12" customHeight="1" x14ac:dyDescent="0.2">
      <c r="A32" s="733" t="s">
        <v>2201</v>
      </c>
      <c r="B32" s="734">
        <v>39520</v>
      </c>
      <c r="C32" s="735">
        <v>5130000</v>
      </c>
      <c r="D32" s="736">
        <v>3</v>
      </c>
      <c r="E32" s="735">
        <v>5130000</v>
      </c>
      <c r="F32" s="735"/>
      <c r="G32" s="735"/>
      <c r="H32" s="735">
        <v>5130000</v>
      </c>
      <c r="I32" s="1778">
        <f>((E32+F32)-H32)+G32</f>
        <v>0</v>
      </c>
      <c r="J32" s="735"/>
      <c r="K32" s="737"/>
    </row>
    <row r="33" spans="1:11" ht="12" customHeight="1" x14ac:dyDescent="0.2">
      <c r="A33" s="733" t="s">
        <v>2202</v>
      </c>
      <c r="B33" s="734">
        <v>39695</v>
      </c>
      <c r="C33" s="735">
        <v>3380000</v>
      </c>
      <c r="D33" s="736">
        <v>3</v>
      </c>
      <c r="E33" s="735">
        <v>375000</v>
      </c>
      <c r="F33" s="735"/>
      <c r="G33" s="735"/>
      <c r="H33" s="735">
        <v>170000</v>
      </c>
      <c r="I33" s="1778">
        <f t="shared" ref="I33:I48" si="1">((E33+F33)-H33)+G33</f>
        <v>205000</v>
      </c>
      <c r="J33" s="735"/>
      <c r="K33" s="737"/>
    </row>
    <row r="34" spans="1:11" ht="12" customHeight="1" x14ac:dyDescent="0.2">
      <c r="A34" s="733" t="s">
        <v>2203</v>
      </c>
      <c r="B34" s="734">
        <v>42426</v>
      </c>
      <c r="C34" s="735">
        <v>1250000</v>
      </c>
      <c r="D34" s="736">
        <v>1</v>
      </c>
      <c r="E34" s="735">
        <v>1020000</v>
      </c>
      <c r="F34" s="735"/>
      <c r="G34" s="735"/>
      <c r="H34" s="735">
        <v>240000</v>
      </c>
      <c r="I34" s="1778">
        <f t="shared" si="1"/>
        <v>780000</v>
      </c>
      <c r="J34" s="735">
        <v>570001</v>
      </c>
      <c r="K34" s="738"/>
    </row>
    <row r="35" spans="1:11" ht="12" customHeight="1" x14ac:dyDescent="0.2">
      <c r="A35" s="733" t="s">
        <v>2204</v>
      </c>
      <c r="B35" s="734">
        <v>42655</v>
      </c>
      <c r="C35" s="739">
        <v>3170000</v>
      </c>
      <c r="D35" s="736">
        <v>3</v>
      </c>
      <c r="E35" s="739">
        <v>3080000</v>
      </c>
      <c r="F35" s="739"/>
      <c r="G35" s="739"/>
      <c r="H35" s="739">
        <v>135000</v>
      </c>
      <c r="I35" s="1778">
        <f t="shared" si="1"/>
        <v>2945000</v>
      </c>
      <c r="J35" s="739">
        <v>2945000</v>
      </c>
      <c r="K35" s="738"/>
    </row>
    <row r="36" spans="1:11" ht="12" customHeight="1" x14ac:dyDescent="0.2">
      <c r="A36" s="733" t="s">
        <v>2205</v>
      </c>
      <c r="B36" s="734">
        <v>42655</v>
      </c>
      <c r="C36" s="735">
        <v>1430000</v>
      </c>
      <c r="D36" s="736">
        <v>3</v>
      </c>
      <c r="E36" s="735">
        <v>1430000</v>
      </c>
      <c r="F36" s="735"/>
      <c r="G36" s="735"/>
      <c r="H36" s="735"/>
      <c r="I36" s="1778">
        <f t="shared" si="1"/>
        <v>1430000</v>
      </c>
      <c r="J36" s="735">
        <v>1430000</v>
      </c>
      <c r="K36" s="740"/>
    </row>
    <row r="37" spans="1:11" ht="12" customHeight="1" x14ac:dyDescent="0.2">
      <c r="A37" s="733" t="s">
        <v>2209</v>
      </c>
      <c r="B37" s="734">
        <v>43074</v>
      </c>
      <c r="C37" s="467">
        <v>520000</v>
      </c>
      <c r="D37" s="741">
        <v>3</v>
      </c>
      <c r="E37" s="467"/>
      <c r="F37" s="467">
        <v>520000</v>
      </c>
      <c r="G37" s="467"/>
      <c r="H37" s="467"/>
      <c r="I37" s="1778">
        <f t="shared" si="1"/>
        <v>520000</v>
      </c>
      <c r="J37" s="467">
        <v>520000</v>
      </c>
      <c r="K37" s="738"/>
    </row>
    <row r="38" spans="1:11" ht="12" customHeight="1" x14ac:dyDescent="0.2">
      <c r="A38" s="733" t="s">
        <v>2210</v>
      </c>
      <c r="B38" s="734">
        <v>43074</v>
      </c>
      <c r="C38" s="735">
        <v>4375000</v>
      </c>
      <c r="D38" s="742">
        <v>3</v>
      </c>
      <c r="E38" s="743"/>
      <c r="F38" s="743">
        <v>4375000</v>
      </c>
      <c r="G38" s="743"/>
      <c r="H38" s="743"/>
      <c r="I38" s="1778">
        <f t="shared" si="1"/>
        <v>4375000</v>
      </c>
      <c r="J38" s="744">
        <v>4375000</v>
      </c>
      <c r="K38" s="745"/>
    </row>
    <row r="39" spans="1:11" ht="12" customHeight="1" x14ac:dyDescent="0.2">
      <c r="A39" s="733" t="s">
        <v>2206</v>
      </c>
      <c r="B39" s="734">
        <v>41852</v>
      </c>
      <c r="C39" s="735">
        <v>123750</v>
      </c>
      <c r="D39" s="742">
        <v>7</v>
      </c>
      <c r="E39" s="743">
        <v>31652</v>
      </c>
      <c r="F39" s="743"/>
      <c r="G39" s="743"/>
      <c r="H39" s="743">
        <v>31652</v>
      </c>
      <c r="I39" s="1778">
        <f t="shared" si="1"/>
        <v>0</v>
      </c>
      <c r="J39" s="744"/>
      <c r="K39" s="745"/>
    </row>
    <row r="40" spans="1:11" ht="12" customHeight="1" x14ac:dyDescent="0.2">
      <c r="A40" s="733" t="s">
        <v>2207</v>
      </c>
      <c r="B40" s="734">
        <v>42758</v>
      </c>
      <c r="C40" s="735">
        <v>74950</v>
      </c>
      <c r="D40" s="742">
        <v>8</v>
      </c>
      <c r="E40" s="743">
        <v>62585</v>
      </c>
      <c r="F40" s="743"/>
      <c r="G40" s="743"/>
      <c r="H40" s="743">
        <v>24661</v>
      </c>
      <c r="I40" s="1778">
        <f t="shared" si="1"/>
        <v>37924</v>
      </c>
      <c r="J40" s="744">
        <v>37924</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21778700</v>
      </c>
      <c r="D49" s="746"/>
      <c r="E49" s="1778">
        <f t="shared" ref="E49:J49" si="2">SUM(E31:E48)</f>
        <v>11654237</v>
      </c>
      <c r="F49" s="1778">
        <f t="shared" si="2"/>
        <v>4895000</v>
      </c>
      <c r="G49" s="1778">
        <f t="shared" si="2"/>
        <v>0</v>
      </c>
      <c r="H49" s="1778">
        <f t="shared" si="2"/>
        <v>6256313</v>
      </c>
      <c r="I49" s="1778">
        <f t="shared" si="2"/>
        <v>10292924</v>
      </c>
      <c r="J49" s="1778">
        <f t="shared" si="2"/>
        <v>9877925</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39" t="s">
        <v>604</v>
      </c>
      <c r="C52" s="2240"/>
      <c r="D52" s="2240"/>
      <c r="E52" s="750" t="s">
        <v>899</v>
      </c>
      <c r="F52" s="2241" t="s">
        <v>2208</v>
      </c>
      <c r="G52" s="2242"/>
      <c r="H52" s="737"/>
      <c r="I52" s="737"/>
      <c r="J52" s="747"/>
    </row>
    <row r="53" spans="1:11" ht="11.25" customHeight="1" x14ac:dyDescent="0.2">
      <c r="A53" s="751" t="s">
        <v>968</v>
      </c>
      <c r="B53" s="752" t="s">
        <v>1007</v>
      </c>
      <c r="C53" s="747"/>
      <c r="D53" s="738"/>
      <c r="E53" s="750" t="s">
        <v>517</v>
      </c>
      <c r="F53" s="2243" t="s">
        <v>2207</v>
      </c>
      <c r="G53" s="2244"/>
      <c r="H53" s="737"/>
      <c r="I53" s="737"/>
      <c r="J53" s="747"/>
    </row>
    <row r="54" spans="1:11" ht="11.25" customHeight="1" x14ac:dyDescent="0.2">
      <c r="A54" s="753" t="s">
        <v>969</v>
      </c>
      <c r="B54" s="748" t="s">
        <v>1008</v>
      </c>
      <c r="C54" s="747"/>
      <c r="D54" s="738"/>
      <c r="E54" s="750" t="s">
        <v>518</v>
      </c>
      <c r="F54" s="2243"/>
      <c r="G54" s="224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I22" sqref="I22:S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8" t="s">
        <v>910</v>
      </c>
      <c r="B1" s="2269"/>
      <c r="C1" s="2269"/>
      <c r="D1" s="2269"/>
      <c r="E1" s="2269"/>
      <c r="F1" s="2269"/>
      <c r="G1" s="2270"/>
      <c r="H1" s="1552"/>
      <c r="I1" s="761"/>
      <c r="J1" s="433"/>
    </row>
    <row r="2" spans="1:11" ht="26.25" x14ac:dyDescent="0.2">
      <c r="A2" s="2287" t="s">
        <v>1775</v>
      </c>
      <c r="B2" s="2288"/>
      <c r="C2" s="2288"/>
      <c r="D2" s="2288"/>
      <c r="E2" s="2289"/>
      <c r="F2" s="762" t="s">
        <v>959</v>
      </c>
      <c r="G2" s="763" t="s">
        <v>1772</v>
      </c>
      <c r="H2" s="763" t="s">
        <v>429</v>
      </c>
      <c r="I2" s="763" t="s">
        <v>1219</v>
      </c>
      <c r="J2" s="763" t="s">
        <v>1915</v>
      </c>
      <c r="K2" s="763" t="s">
        <v>140</v>
      </c>
    </row>
    <row r="3" spans="1:11" x14ac:dyDescent="0.2">
      <c r="A3" s="2290" t="s">
        <v>1697</v>
      </c>
      <c r="B3" s="2291"/>
      <c r="C3" s="2291"/>
      <c r="D3" s="2291"/>
      <c r="E3" s="2292"/>
      <c r="F3" s="764"/>
      <c r="G3" s="765"/>
      <c r="H3" s="765"/>
      <c r="I3" s="765"/>
      <c r="J3" s="766">
        <v>2516</v>
      </c>
      <c r="K3" s="766"/>
    </row>
    <row r="4" spans="1:11" x14ac:dyDescent="0.2">
      <c r="A4" s="2293" t="s">
        <v>386</v>
      </c>
      <c r="B4" s="2294"/>
      <c r="C4" s="2294"/>
      <c r="D4" s="2294"/>
      <c r="E4" s="2240"/>
      <c r="F4" s="767"/>
      <c r="G4" s="768"/>
      <c r="H4" s="769"/>
      <c r="I4" s="768"/>
      <c r="J4" s="770"/>
      <c r="K4" s="770"/>
    </row>
    <row r="5" spans="1:11" x14ac:dyDescent="0.2">
      <c r="A5" s="2271" t="s">
        <v>1128</v>
      </c>
      <c r="B5" s="2272"/>
      <c r="C5" s="2272"/>
      <c r="D5" s="2272"/>
      <c r="E5" s="2273"/>
      <c r="F5" s="771" t="s">
        <v>902</v>
      </c>
      <c r="G5" s="772"/>
      <c r="H5" s="765">
        <v>43361</v>
      </c>
      <c r="I5" s="773"/>
      <c r="J5" s="774"/>
      <c r="K5" s="774"/>
    </row>
    <row r="6" spans="1:11" x14ac:dyDescent="0.2">
      <c r="A6" s="775" t="s">
        <v>743</v>
      </c>
      <c r="B6" s="776"/>
      <c r="C6" s="776"/>
      <c r="D6" s="776"/>
      <c r="E6" s="777"/>
      <c r="F6" s="778" t="s">
        <v>903</v>
      </c>
      <c r="G6" s="765"/>
      <c r="H6" s="765"/>
      <c r="I6" s="765"/>
      <c r="J6" s="766">
        <v>23</v>
      </c>
      <c r="K6" s="766"/>
    </row>
    <row r="7" spans="1:11" x14ac:dyDescent="0.2">
      <c r="A7" s="779" t="s">
        <v>264</v>
      </c>
      <c r="B7" s="780"/>
      <c r="C7" s="780"/>
      <c r="D7" s="780"/>
      <c r="E7" s="781"/>
      <c r="F7" s="771" t="s">
        <v>904</v>
      </c>
      <c r="G7" s="768"/>
      <c r="H7" s="768"/>
      <c r="I7" s="768"/>
      <c r="J7" s="782"/>
      <c r="K7" s="766">
        <v>7900</v>
      </c>
    </row>
    <row r="8" spans="1:11" x14ac:dyDescent="0.2">
      <c r="A8" s="779" t="s">
        <v>362</v>
      </c>
      <c r="B8" s="780"/>
      <c r="C8" s="780"/>
      <c r="D8" s="780"/>
      <c r="E8" s="781"/>
      <c r="F8" s="771" t="s">
        <v>905</v>
      </c>
      <c r="G8" s="783"/>
      <c r="H8" s="783"/>
      <c r="I8" s="783"/>
      <c r="J8" s="766">
        <v>572</v>
      </c>
      <c r="K8" s="770"/>
    </row>
    <row r="9" spans="1:11" x14ac:dyDescent="0.2">
      <c r="A9" s="779" t="s">
        <v>140</v>
      </c>
      <c r="B9" s="780"/>
      <c r="C9" s="780"/>
      <c r="D9" s="780"/>
      <c r="E9" s="781"/>
      <c r="F9" s="778" t="s">
        <v>907</v>
      </c>
      <c r="G9" s="783"/>
      <c r="H9" s="772"/>
      <c r="I9" s="772"/>
      <c r="J9" s="782"/>
      <c r="K9" s="766">
        <v>12923</v>
      </c>
    </row>
    <row r="10" spans="1:11" x14ac:dyDescent="0.2">
      <c r="A10" s="2271" t="s">
        <v>1916</v>
      </c>
      <c r="B10" s="2272"/>
      <c r="C10" s="2272"/>
      <c r="D10" s="2272"/>
      <c r="E10" s="2274"/>
      <c r="F10" s="784" t="s">
        <v>916</v>
      </c>
      <c r="G10" s="783"/>
      <c r="H10" s="785"/>
      <c r="I10" s="765"/>
      <c r="J10" s="766"/>
      <c r="K10" s="766"/>
    </row>
    <row r="11" spans="1:11" x14ac:dyDescent="0.2">
      <c r="A11" s="2271" t="s">
        <v>162</v>
      </c>
      <c r="B11" s="2272"/>
      <c r="C11" s="2272"/>
      <c r="D11" s="2272"/>
      <c r="E11" s="2273"/>
      <c r="F11" s="771" t="s">
        <v>906</v>
      </c>
      <c r="G11" s="772"/>
      <c r="H11" s="765"/>
      <c r="I11" s="765"/>
      <c r="J11" s="766"/>
      <c r="K11" s="774"/>
    </row>
    <row r="12" spans="1:11" ht="13.5" thickBot="1" x14ac:dyDescent="0.25">
      <c r="A12" s="2298" t="s">
        <v>960</v>
      </c>
      <c r="B12" s="2299"/>
      <c r="C12" s="2299"/>
      <c r="D12" s="2299"/>
      <c r="E12" s="2300"/>
      <c r="F12" s="1779"/>
      <c r="G12" s="1780">
        <f>SUM(G5:G11)</f>
        <v>0</v>
      </c>
      <c r="H12" s="1780">
        <f>SUM(H5:H11)</f>
        <v>43361</v>
      </c>
      <c r="I12" s="1780">
        <f>SUM(I5:I11)</f>
        <v>0</v>
      </c>
      <c r="J12" s="1780">
        <f>SUM(J5:J11)</f>
        <v>595</v>
      </c>
      <c r="K12" s="1780">
        <f>SUM(K5:K11)</f>
        <v>20823</v>
      </c>
    </row>
    <row r="13" spans="1:11" ht="13.5" thickTop="1" x14ac:dyDescent="0.2">
      <c r="A13" s="2295" t="s">
        <v>387</v>
      </c>
      <c r="B13" s="2296"/>
      <c r="C13" s="2296"/>
      <c r="D13" s="2296"/>
      <c r="E13" s="2297"/>
      <c r="F13" s="786"/>
      <c r="G13" s="787"/>
      <c r="H13" s="788"/>
      <c r="I13" s="789"/>
      <c r="J13" s="789"/>
      <c r="K13" s="789"/>
    </row>
    <row r="14" spans="1:11" x14ac:dyDescent="0.2">
      <c r="A14" s="2278" t="s">
        <v>475</v>
      </c>
      <c r="B14" s="2278"/>
      <c r="C14" s="2278"/>
      <c r="D14" s="2278"/>
      <c r="E14" s="2279"/>
      <c r="F14" s="790" t="s">
        <v>908</v>
      </c>
      <c r="G14" s="783"/>
      <c r="H14" s="765">
        <v>43361</v>
      </c>
      <c r="I14" s="772"/>
      <c r="J14" s="774"/>
      <c r="K14" s="766">
        <v>20823</v>
      </c>
    </row>
    <row r="15" spans="1:11" x14ac:dyDescent="0.2">
      <c r="A15" s="2272" t="s">
        <v>4</v>
      </c>
      <c r="B15" s="2272"/>
      <c r="C15" s="2272"/>
      <c r="D15" s="2272"/>
      <c r="E15" s="2273"/>
      <c r="F15" s="790" t="s">
        <v>909</v>
      </c>
      <c r="G15" s="772"/>
      <c r="H15" s="765"/>
      <c r="I15" s="765"/>
      <c r="J15" s="766"/>
      <c r="K15" s="766"/>
    </row>
    <row r="16" spans="1:11" x14ac:dyDescent="0.2">
      <c r="A16" s="2272" t="s">
        <v>315</v>
      </c>
      <c r="B16" s="2272"/>
      <c r="C16" s="2272"/>
      <c r="D16" s="2272"/>
      <c r="E16" s="2273"/>
      <c r="F16" s="790" t="s">
        <v>979</v>
      </c>
      <c r="G16" s="773"/>
      <c r="H16" s="768"/>
      <c r="I16" s="768"/>
      <c r="J16" s="770"/>
      <c r="K16" s="770"/>
    </row>
    <row r="17" spans="1:11" x14ac:dyDescent="0.2">
      <c r="A17" s="2303" t="s">
        <v>991</v>
      </c>
      <c r="B17" s="2303"/>
      <c r="C17" s="2303"/>
      <c r="D17" s="2303"/>
      <c r="E17" s="2304"/>
      <c r="F17" s="791"/>
      <c r="G17" s="792"/>
      <c r="H17" s="793"/>
      <c r="I17" s="793"/>
      <c r="J17" s="794"/>
      <c r="K17" s="795"/>
    </row>
    <row r="18" spans="1:11" x14ac:dyDescent="0.2">
      <c r="A18" s="2282" t="s">
        <v>385</v>
      </c>
      <c r="B18" s="2283"/>
      <c r="C18" s="2283"/>
      <c r="D18" s="2283"/>
      <c r="E18" s="2284"/>
      <c r="F18" s="790" t="s">
        <v>988</v>
      </c>
      <c r="G18" s="783"/>
      <c r="H18" s="783"/>
      <c r="I18" s="783"/>
      <c r="J18" s="766"/>
      <c r="K18" s="796"/>
    </row>
    <row r="19" spans="1:11" ht="21.75" customHeight="1" x14ac:dyDescent="0.2">
      <c r="A19" s="2280" t="s">
        <v>1912</v>
      </c>
      <c r="B19" s="2280"/>
      <c r="C19" s="2280"/>
      <c r="D19" s="2280"/>
      <c r="E19" s="2281"/>
      <c r="F19" s="790" t="s">
        <v>989</v>
      </c>
      <c r="G19" s="783"/>
      <c r="H19" s="783"/>
      <c r="I19" s="783"/>
      <c r="J19" s="766"/>
      <c r="K19" s="796"/>
    </row>
    <row r="20" spans="1:11" x14ac:dyDescent="0.2">
      <c r="A20" s="2282" t="s">
        <v>1917</v>
      </c>
      <c r="B20" s="2283"/>
      <c r="C20" s="2283"/>
      <c r="D20" s="2283"/>
      <c r="E20" s="2284"/>
      <c r="F20" s="790" t="s">
        <v>990</v>
      </c>
      <c r="G20" s="783"/>
      <c r="H20" s="783"/>
      <c r="I20" s="783"/>
      <c r="J20" s="766"/>
      <c r="K20" s="796"/>
    </row>
    <row r="21" spans="1:11" ht="13.5" thickBot="1" x14ac:dyDescent="0.25">
      <c r="A21" s="2301" t="s">
        <v>658</v>
      </c>
      <c r="B21" s="2301"/>
      <c r="C21" s="2301"/>
      <c r="D21" s="2301"/>
      <c r="E21" s="2301"/>
      <c r="F21" s="1781"/>
      <c r="G21" s="793"/>
      <c r="H21" s="797"/>
      <c r="I21" s="797"/>
      <c r="J21" s="1782">
        <f>SUM(J18:J20)</f>
        <v>0</v>
      </c>
      <c r="K21" s="794"/>
    </row>
    <row r="22" spans="1:11" ht="13.5" thickTop="1" x14ac:dyDescent="0.2">
      <c r="A22" s="2272" t="s">
        <v>1918</v>
      </c>
      <c r="B22" s="2272"/>
      <c r="C22" s="2272"/>
      <c r="D22" s="2272"/>
      <c r="E22" s="2273"/>
      <c r="F22" s="790" t="s">
        <v>916</v>
      </c>
      <c r="G22" s="783"/>
      <c r="H22" s="765"/>
      <c r="I22" s="765"/>
      <c r="J22" s="798"/>
      <c r="K22" s="766"/>
    </row>
    <row r="23" spans="1:11" ht="13.5" thickBot="1" x14ac:dyDescent="0.25">
      <c r="A23" s="2302" t="s">
        <v>961</v>
      </c>
      <c r="B23" s="2301"/>
      <c r="C23" s="2301"/>
      <c r="D23" s="2301"/>
      <c r="E23" s="2301"/>
      <c r="F23" s="1783"/>
      <c r="G23" s="1780">
        <f>SUM(G14:G16,G21,G22)</f>
        <v>0</v>
      </c>
      <c r="H23" s="1780">
        <f>SUM(H14:H16,H21,H22)</f>
        <v>43361</v>
      </c>
      <c r="I23" s="1780">
        <f>SUM(I14:I16,I21,I22)</f>
        <v>0</v>
      </c>
      <c r="J23" s="1780">
        <f>SUM(J14:J16,J21,J22)</f>
        <v>0</v>
      </c>
      <c r="K23" s="1780">
        <f>SUM(K14:K16,K21,K22)</f>
        <v>20823</v>
      </c>
    </row>
    <row r="24" spans="1:11" ht="14.25" thickTop="1" thickBot="1" x14ac:dyDescent="0.25">
      <c r="A24" s="2302" t="s">
        <v>2022</v>
      </c>
      <c r="B24" s="2301"/>
      <c r="C24" s="2301"/>
      <c r="D24" s="2301"/>
      <c r="E24" s="2301"/>
      <c r="F24" s="1784"/>
      <c r="G24" s="1785">
        <f>SUM(G3,G12)-G23</f>
        <v>0</v>
      </c>
      <c r="H24" s="1785">
        <f>SUM(H3,H12)-H23</f>
        <v>0</v>
      </c>
      <c r="I24" s="1785">
        <f>SUM(I3,I12)-I23</f>
        <v>0</v>
      </c>
      <c r="J24" s="1785">
        <f>SUM(J3,J12)-J23</f>
        <v>3111</v>
      </c>
      <c r="K24" s="1785">
        <f>SUM(K3,K12)-K23</f>
        <v>0</v>
      </c>
    </row>
    <row r="25" spans="1:11" ht="13.5" thickTop="1" x14ac:dyDescent="0.2">
      <c r="A25" s="799" t="s">
        <v>439</v>
      </c>
      <c r="B25" s="800"/>
      <c r="C25" s="800"/>
      <c r="D25" s="800"/>
      <c r="E25" s="801"/>
      <c r="F25" s="802">
        <v>714</v>
      </c>
      <c r="G25" s="803"/>
      <c r="H25" s="803"/>
      <c r="I25" s="803"/>
      <c r="J25" s="798">
        <v>3111</v>
      </c>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75"/>
      <c r="I31" s="2276"/>
      <c r="J31" s="2276"/>
      <c r="K31" s="2276"/>
    </row>
    <row r="32" spans="1:11" x14ac:dyDescent="0.2">
      <c r="A32" s="810"/>
      <c r="B32" s="237"/>
      <c r="C32" s="237"/>
      <c r="D32" s="237"/>
      <c r="E32" s="806"/>
      <c r="F32" s="812" t="s">
        <v>560</v>
      </c>
      <c r="G32" s="765"/>
      <c r="H32" s="2277"/>
      <c r="I32" s="2276"/>
      <c r="J32" s="2276"/>
      <c r="K32" s="2276"/>
    </row>
    <row r="33" spans="1:11" ht="1.5" customHeight="1" x14ac:dyDescent="0.2">
      <c r="A33" s="813" t="s">
        <v>1230</v>
      </c>
      <c r="B33" s="364"/>
      <c r="C33" s="364"/>
      <c r="D33" s="364"/>
      <c r="E33" s="364"/>
      <c r="F33" s="364"/>
      <c r="G33" s="814"/>
      <c r="H33" s="2277"/>
      <c r="I33" s="2276"/>
      <c r="J33" s="2276"/>
      <c r="K33" s="2276"/>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72" t="s">
        <v>561</v>
      </c>
      <c r="B41" s="2285"/>
      <c r="C41" s="2285"/>
      <c r="D41" s="2285"/>
      <c r="E41" s="2285"/>
      <c r="F41" s="2286"/>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22" sqref="I22:S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7" t="s">
        <v>2031</v>
      </c>
      <c r="B1" s="2308"/>
      <c r="C1" s="2309"/>
      <c r="D1" s="827"/>
      <c r="E1" s="828"/>
      <c r="F1" s="828"/>
      <c r="G1" s="829"/>
      <c r="H1" s="830"/>
      <c r="I1" s="831"/>
      <c r="J1" s="2305"/>
      <c r="K1" s="2306"/>
      <c r="L1" s="2306"/>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152553</v>
      </c>
      <c r="D5" s="842"/>
      <c r="E5" s="842"/>
      <c r="F5" s="1782">
        <f>(C5+D5)-E5</f>
        <v>152553</v>
      </c>
      <c r="G5" s="838"/>
      <c r="H5" s="843"/>
      <c r="I5" s="843"/>
      <c r="J5" s="843"/>
      <c r="K5" s="794"/>
      <c r="L5" s="1791">
        <f>F5-K5</f>
        <v>152553</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16731594</v>
      </c>
      <c r="D8" s="845">
        <v>105625</v>
      </c>
      <c r="E8" s="845"/>
      <c r="F8" s="1782">
        <f>(C8+D8)-E8</f>
        <v>16837219</v>
      </c>
      <c r="G8" s="844">
        <v>50</v>
      </c>
      <c r="H8" s="766">
        <v>7493191</v>
      </c>
      <c r="I8" s="766">
        <v>282989</v>
      </c>
      <c r="J8" s="766"/>
      <c r="K8" s="1791">
        <f>(H8+I8)-J8</f>
        <v>7776180</v>
      </c>
      <c r="L8" s="1791">
        <f>F8-K8</f>
        <v>9061039</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131806</v>
      </c>
      <c r="D10" s="847"/>
      <c r="E10" s="847"/>
      <c r="F10" s="1786">
        <f>(C10+D10)-E10</f>
        <v>131806</v>
      </c>
      <c r="G10" s="844">
        <v>20</v>
      </c>
      <c r="H10" s="848">
        <v>63628</v>
      </c>
      <c r="I10" s="848">
        <v>6591</v>
      </c>
      <c r="J10" s="848"/>
      <c r="K10" s="1791">
        <f>(H10+I10)-J10</f>
        <v>70219</v>
      </c>
      <c r="L10" s="1791">
        <f>F10-K10</f>
        <v>61587</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f>1220701+2259</f>
        <v>1222960</v>
      </c>
      <c r="D12" s="845">
        <v>129796</v>
      </c>
      <c r="E12" s="845"/>
      <c r="F12" s="1782">
        <f>(C12+D12)-E12</f>
        <v>1352756</v>
      </c>
      <c r="G12" s="844">
        <v>10</v>
      </c>
      <c r="H12" s="766">
        <v>494114</v>
      </c>
      <c r="I12" s="766">
        <f>118000+226</f>
        <v>118226</v>
      </c>
      <c r="J12" s="766"/>
      <c r="K12" s="1791">
        <f>(H12+I12)-J12</f>
        <v>612340</v>
      </c>
      <c r="L12" s="1791">
        <f>F12-K12</f>
        <v>740416</v>
      </c>
    </row>
    <row r="13" spans="1:14" ht="14.25" thickTop="1" thickBot="1" x14ac:dyDescent="0.25">
      <c r="A13" s="849" t="s">
        <v>1183</v>
      </c>
      <c r="B13" s="841">
        <v>252</v>
      </c>
      <c r="C13" s="845">
        <v>66053</v>
      </c>
      <c r="D13" s="845">
        <v>35530</v>
      </c>
      <c r="E13" s="845"/>
      <c r="F13" s="1782">
        <f>(C13+D13)-E13</f>
        <v>101583</v>
      </c>
      <c r="G13" s="844">
        <v>5</v>
      </c>
      <c r="H13" s="766">
        <v>36158</v>
      </c>
      <c r="I13" s="766">
        <v>13038</v>
      </c>
      <c r="J13" s="766"/>
      <c r="K13" s="1791">
        <f>(H13+I13)-J13</f>
        <v>49196</v>
      </c>
      <c r="L13" s="1791">
        <f>F13-K13</f>
        <v>52387</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18304966</v>
      </c>
      <c r="D16" s="1782">
        <f>SUM(D3,D5:D6,D8:D10,D12:D15)</f>
        <v>270951</v>
      </c>
      <c r="E16" s="1782">
        <f>SUM(E3,E5:E6,E8:E10,E12:E15)</f>
        <v>0</v>
      </c>
      <c r="F16" s="1782">
        <f>SUM(F3,F5:F6,F8:F10,F12:F15)</f>
        <v>18575917</v>
      </c>
      <c r="G16" s="844"/>
      <c r="H16" s="1782">
        <f>SUM(H3,H6,H8:H10,H12:H14,)</f>
        <v>8087091</v>
      </c>
      <c r="I16" s="1782">
        <f>SUM(I3,I6,I8:I10,I12:I14,)</f>
        <v>420844</v>
      </c>
      <c r="J16" s="1782">
        <f>SUM(J3,J6,J8:J10,J12:J14,)</f>
        <v>0</v>
      </c>
      <c r="K16" s="1782">
        <f>(H16+I16)-J16</f>
        <v>8507935</v>
      </c>
      <c r="L16" s="1782">
        <f>F16-K16</f>
        <v>10067982</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420844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I22" sqref="I22:S22"/>
      <selection pane="bottomLeft" activeCell="I22" sqref="I22:S2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3" t="s">
        <v>1698</v>
      </c>
      <c r="B1" s="2314"/>
      <c r="C1" s="2314"/>
      <c r="D1" s="2314"/>
      <c r="E1" s="2314"/>
      <c r="F1" s="2315"/>
      <c r="G1" s="856"/>
    </row>
    <row r="2" spans="1:7" ht="15" customHeight="1" thickBot="1" x14ac:dyDescent="0.25">
      <c r="A2" s="2316" t="s">
        <v>497</v>
      </c>
      <c r="B2" s="2317"/>
      <c r="C2" s="2317"/>
      <c r="D2" s="2317"/>
      <c r="E2" s="2317"/>
      <c r="F2" s="231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19"/>
      <c r="B5" s="2320"/>
      <c r="C5" s="2320"/>
      <c r="D5" s="2320"/>
      <c r="E5" s="2320"/>
      <c r="F5" s="2320"/>
    </row>
    <row r="6" spans="1:7" ht="13.5" customHeight="1" thickBot="1" x14ac:dyDescent="0.25">
      <c r="A6" s="2310" t="s">
        <v>1165</v>
      </c>
      <c r="B6" s="2311"/>
      <c r="C6" s="2311"/>
      <c r="D6" s="2311"/>
      <c r="E6" s="2311"/>
      <c r="F6" s="231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10063986</v>
      </c>
      <c r="G8" s="866"/>
    </row>
    <row r="9" spans="1:7" x14ac:dyDescent="0.2">
      <c r="A9" s="870" t="s">
        <v>479</v>
      </c>
      <c r="B9" s="871" t="s">
        <v>1985</v>
      </c>
      <c r="C9" s="872"/>
      <c r="D9" s="870" t="s">
        <v>521</v>
      </c>
      <c r="E9" s="869"/>
      <c r="F9" s="1935">
        <f>'Expenditures 15-22'!K151</f>
        <v>518295</v>
      </c>
      <c r="G9" s="873"/>
    </row>
    <row r="10" spans="1:7" x14ac:dyDescent="0.2">
      <c r="A10" s="870" t="s">
        <v>519</v>
      </c>
      <c r="B10" s="871" t="s">
        <v>1986</v>
      </c>
      <c r="C10" s="872"/>
      <c r="D10" s="870" t="s">
        <v>521</v>
      </c>
      <c r="E10" s="869"/>
      <c r="F10" s="1935">
        <f>'Expenditures 15-22'!K174</f>
        <v>6856211</v>
      </c>
      <c r="G10" s="873"/>
    </row>
    <row r="11" spans="1:7" x14ac:dyDescent="0.2">
      <c r="A11" s="870" t="s">
        <v>480</v>
      </c>
      <c r="B11" s="871" t="s">
        <v>1987</v>
      </c>
      <c r="C11" s="872"/>
      <c r="D11" s="870" t="s">
        <v>521</v>
      </c>
      <c r="E11" s="869"/>
      <c r="F11" s="1935">
        <f>'Expenditures 15-22'!K210</f>
        <v>1002956</v>
      </c>
      <c r="G11" s="873"/>
    </row>
    <row r="12" spans="1:7" x14ac:dyDescent="0.2">
      <c r="A12" s="870" t="s">
        <v>481</v>
      </c>
      <c r="B12" s="871" t="s">
        <v>1988</v>
      </c>
      <c r="C12" s="872"/>
      <c r="D12" s="870" t="s">
        <v>521</v>
      </c>
      <c r="E12" s="869"/>
      <c r="F12" s="1935">
        <f>'Expenditures 15-22'!K295</f>
        <v>538196</v>
      </c>
      <c r="G12" s="873"/>
    </row>
    <row r="13" spans="1:7" x14ac:dyDescent="0.2">
      <c r="A13" s="870" t="s">
        <v>108</v>
      </c>
      <c r="B13" s="871" t="s">
        <v>1989</v>
      </c>
      <c r="C13" s="872"/>
      <c r="D13" s="870" t="s">
        <v>521</v>
      </c>
      <c r="E13" s="869"/>
      <c r="F13" s="1935">
        <f>'Expenditures 15-22'!K342</f>
        <v>942964</v>
      </c>
      <c r="G13" s="874"/>
    </row>
    <row r="14" spans="1:7" ht="12" customHeight="1" thickBot="1" x14ac:dyDescent="0.25">
      <c r="A14" s="1792"/>
      <c r="B14" s="1793"/>
      <c r="C14" s="1794"/>
      <c r="D14" s="1795" t="s">
        <v>521</v>
      </c>
      <c r="E14" s="1796" t="s">
        <v>1014</v>
      </c>
      <c r="F14" s="1797">
        <f>SUM(F8:F13)</f>
        <v>19922608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21984</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74863</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151135</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16973</v>
      </c>
      <c r="G52" s="866"/>
    </row>
    <row r="53" spans="1:7" x14ac:dyDescent="0.2">
      <c r="A53" s="870" t="s">
        <v>478</v>
      </c>
      <c r="B53" s="870" t="s">
        <v>1550</v>
      </c>
      <c r="C53" s="890">
        <f>'Expenditures 15-22'!B102</f>
        <v>4000</v>
      </c>
      <c r="D53" s="889" t="str">
        <f>'Expenditures 15-22'!A102</f>
        <v>Total Payments to Other Govt Units</v>
      </c>
      <c r="E53" s="869"/>
      <c r="F53" s="1939">
        <f>'Expenditures 15-22'!K102</f>
        <v>1341764</v>
      </c>
      <c r="G53" s="866"/>
    </row>
    <row r="54" spans="1:7" x14ac:dyDescent="0.2">
      <c r="A54" s="870" t="s">
        <v>478</v>
      </c>
      <c r="B54" s="870" t="s">
        <v>1551</v>
      </c>
      <c r="C54" s="890" t="s">
        <v>1038</v>
      </c>
      <c r="D54" s="886" t="s">
        <v>1156</v>
      </c>
      <c r="E54" s="869"/>
      <c r="F54" s="1939">
        <f>'Expenditures 15-22'!G114</f>
        <v>235411</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0</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6256313</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100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10</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167</v>
      </c>
      <c r="G67" s="866"/>
    </row>
    <row r="68" spans="1:8" x14ac:dyDescent="0.2">
      <c r="A68" s="870" t="s">
        <v>481</v>
      </c>
      <c r="B68" s="870" t="s">
        <v>1554</v>
      </c>
      <c r="C68" s="887" t="str">
        <f>'Expenditures 15-22'!B218</f>
        <v>1225</v>
      </c>
      <c r="D68" s="893" t="str">
        <f>'Expenditures 15-22'!A218</f>
        <v>Special Education Programs - Pre-K</v>
      </c>
      <c r="E68" s="869"/>
      <c r="F68" s="1939">
        <f>'Expenditures 15-22'!K218</f>
        <v>8440</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3131</v>
      </c>
      <c r="G70" s="866"/>
    </row>
    <row r="71" spans="1:8" x14ac:dyDescent="0.2">
      <c r="A71" s="870" t="s">
        <v>481</v>
      </c>
      <c r="B71" s="870" t="s">
        <v>2003</v>
      </c>
      <c r="C71" s="887">
        <f>'Expenditures 15-22'!B224</f>
        <v>1600</v>
      </c>
      <c r="D71" s="888" t="str">
        <f>'Expenditures 15-22'!A224</f>
        <v>Summer School Programs</v>
      </c>
      <c r="E71" s="869"/>
      <c r="F71" s="1939">
        <f>'Expenditures 15-22'!K224</f>
        <v>0</v>
      </c>
      <c r="G71" s="866"/>
    </row>
    <row r="72" spans="1:8" x14ac:dyDescent="0.2">
      <c r="A72" s="870" t="s">
        <v>481</v>
      </c>
      <c r="B72" s="870" t="s">
        <v>2004</v>
      </c>
      <c r="C72" s="887">
        <f>'Expenditures 15-22'!B280</f>
        <v>3000</v>
      </c>
      <c r="D72" s="877" t="s">
        <v>468</v>
      </c>
      <c r="E72" s="869"/>
      <c r="F72" s="1939">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8110291</v>
      </c>
      <c r="G76" s="866"/>
    </row>
    <row r="77" spans="1:8" s="894" customFormat="1" ht="12" customHeight="1" thickTop="1" thickBot="1" x14ac:dyDescent="0.25">
      <c r="A77" s="1801"/>
      <c r="B77" s="1798"/>
      <c r="C77" s="1794"/>
      <c r="D77" s="1799" t="s">
        <v>2008</v>
      </c>
      <c r="E77" s="1796"/>
      <c r="F77" s="1802">
        <f>(F14-F76)</f>
        <v>11812317</v>
      </c>
      <c r="G77" s="870"/>
    </row>
    <row r="78" spans="1:8" s="894" customFormat="1" ht="12" customHeight="1" thickTop="1" x14ac:dyDescent="0.2">
      <c r="A78" s="1803"/>
      <c r="B78" s="1798"/>
      <c r="C78" s="1794"/>
      <c r="D78" s="1799" t="s">
        <v>2055</v>
      </c>
      <c r="E78" s="1796"/>
      <c r="F78" s="899">
        <v>956.93</v>
      </c>
      <c r="G78" s="900"/>
      <c r="H78" s="870"/>
    </row>
    <row r="79" spans="1:8" s="894" customFormat="1" ht="12" customHeight="1" thickBot="1" x14ac:dyDescent="0.25">
      <c r="A79" s="1804"/>
      <c r="B79" s="1798"/>
      <c r="C79" s="1794"/>
      <c r="D79" s="1799" t="s">
        <v>2009</v>
      </c>
      <c r="E79" s="1796" t="s">
        <v>1014</v>
      </c>
      <c r="F79" s="1805">
        <f>IF(F78&gt;0,F77/F78," Complete Line 78")</f>
        <v>12343.971868370729</v>
      </c>
      <c r="G79" s="870"/>
    </row>
    <row r="80" spans="1:8" s="894" customFormat="1" ht="8.25" customHeight="1" thickTop="1" x14ac:dyDescent="0.2">
      <c r="A80" s="901"/>
      <c r="B80" s="870"/>
      <c r="C80" s="872"/>
      <c r="D80" s="902"/>
      <c r="E80" s="869"/>
      <c r="F80" s="903"/>
      <c r="G80" s="870"/>
    </row>
    <row r="81" spans="1:7" s="894" customFormat="1" ht="12" thickBot="1" x14ac:dyDescent="0.25">
      <c r="A81" s="2310" t="s">
        <v>1166</v>
      </c>
      <c r="B81" s="2311"/>
      <c r="C81" s="2311"/>
      <c r="D81" s="2311"/>
      <c r="E81" s="2311"/>
      <c r="F81" s="231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91061</v>
      </c>
      <c r="G94" s="913"/>
    </row>
    <row r="95" spans="1:7" x14ac:dyDescent="0.2">
      <c r="A95" s="909" t="s">
        <v>142</v>
      </c>
      <c r="B95" s="909" t="s">
        <v>177</v>
      </c>
      <c r="C95" s="911">
        <v>1700</v>
      </c>
      <c r="D95" s="919" t="str">
        <f>'Revenues 9-14'!A82</f>
        <v>Total District/School Activity Income</v>
      </c>
      <c r="E95" s="907"/>
      <c r="F95" s="1811">
        <f>SUM('Revenues 9-14'!C82,'Revenues 9-14'!D82)</f>
        <v>27449</v>
      </c>
      <c r="G95" s="913"/>
    </row>
    <row r="96" spans="1:7" x14ac:dyDescent="0.2">
      <c r="A96" s="909" t="s">
        <v>478</v>
      </c>
      <c r="B96" s="909" t="s">
        <v>178</v>
      </c>
      <c r="C96" s="911">
        <f>'Revenues 9-14'!B84</f>
        <v>1811</v>
      </c>
      <c r="D96" s="912" t="str">
        <f>'Revenues 9-14'!A84</f>
        <v>Rentals - Regular Textbooks</v>
      </c>
      <c r="E96" s="907"/>
      <c r="F96" s="1811">
        <f>'Revenues 9-14'!C84</f>
        <v>40576</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31251</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9412</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212658</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21969</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7979</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12923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682717</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531264</v>
      </c>
      <c r="G129" s="931"/>
    </row>
    <row r="130" spans="1:7" x14ac:dyDescent="0.2">
      <c r="A130" s="928" t="s">
        <v>688</v>
      </c>
      <c r="B130" s="928" t="s">
        <v>803</v>
      </c>
      <c r="C130" s="933">
        <v>4300</v>
      </c>
      <c r="D130" s="934" t="str">
        <f>'Revenues 9-14'!A211</f>
        <v>Total Title I</v>
      </c>
      <c r="E130" s="907"/>
      <c r="F130" s="1811">
        <f>SUM('Revenues 9-14'!C211,'Revenues 9-14'!D211,'Revenues 9-14'!F211,'Revenues 9-14'!G211)</f>
        <v>282833</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442612</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3724</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47106</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26896</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96055</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2569235</v>
      </c>
    </row>
    <row r="179" spans="1:7" ht="12" customHeight="1" x14ac:dyDescent="0.2">
      <c r="A179" s="1792"/>
      <c r="B179" s="1806"/>
      <c r="C179" s="1807"/>
      <c r="D179" s="1808" t="s">
        <v>2011</v>
      </c>
      <c r="E179" s="1809"/>
      <c r="F179" s="1811">
        <f>'PCTC-OEPP 27-28'!F77-F178</f>
        <v>9243082</v>
      </c>
    </row>
    <row r="180" spans="1:7" ht="12" customHeight="1" x14ac:dyDescent="0.2">
      <c r="A180" s="1792"/>
      <c r="B180" s="1806"/>
      <c r="C180" s="1807"/>
      <c r="D180" s="1808" t="s">
        <v>1920</v>
      </c>
      <c r="E180" s="1809"/>
      <c r="F180" s="1811">
        <f>'Cap Outlay Deprec 26'!I18</f>
        <v>420844</v>
      </c>
    </row>
    <row r="181" spans="1:7" ht="12" customHeight="1" x14ac:dyDescent="0.2">
      <c r="A181" s="1792"/>
      <c r="B181" s="1806"/>
      <c r="C181" s="1807"/>
      <c r="D181" s="1808" t="s">
        <v>2012</v>
      </c>
      <c r="E181" s="1809"/>
      <c r="F181" s="1811">
        <f>F179+F180</f>
        <v>9663926</v>
      </c>
    </row>
    <row r="182" spans="1:7" ht="12" customHeight="1" x14ac:dyDescent="0.2">
      <c r="A182" s="1792"/>
      <c r="B182" s="1812"/>
      <c r="C182" s="1807"/>
      <c r="D182" s="1808" t="str">
        <f>D78</f>
        <v>9 Month ADA from District Average Daily Attendance/Prior General State Aid Inquiry 2017-2018</v>
      </c>
      <c r="E182" s="1809"/>
      <c r="F182" s="1813">
        <f>'PCTC-OEPP 27-28'!F78</f>
        <v>956.93</v>
      </c>
      <c r="G182" s="931"/>
    </row>
    <row r="183" spans="1:7" ht="12" customHeight="1" thickBot="1" x14ac:dyDescent="0.25">
      <c r="A183" s="1792"/>
      <c r="B183" s="1812"/>
      <c r="C183" s="1807"/>
      <c r="D183" s="1808" t="s">
        <v>2013</v>
      </c>
      <c r="E183" s="1809" t="s">
        <v>1625</v>
      </c>
      <c r="F183" s="1814">
        <f>F181/F182</f>
        <v>10098.884975912555</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I22" sqref="I22:S22"/>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324" t="s">
        <v>1921</v>
      </c>
      <c r="B4" s="2325"/>
      <c r="C4" s="2325"/>
      <c r="D4" s="2325"/>
      <c r="E4" s="2325"/>
      <c r="F4" s="2325"/>
      <c r="G4" s="2326"/>
    </row>
    <row r="5" spans="1:7" x14ac:dyDescent="0.25">
      <c r="A5" s="2327"/>
      <c r="B5" s="2328"/>
      <c r="C5" s="2328"/>
      <c r="D5" s="2328"/>
      <c r="E5" s="2328"/>
      <c r="F5" s="2328"/>
      <c r="G5" s="2329"/>
    </row>
    <row r="6" spans="1:7" ht="18.75" x14ac:dyDescent="0.25">
      <c r="A6" s="1556" t="s">
        <v>1922</v>
      </c>
      <c r="B6" s="1557"/>
      <c r="C6" s="1557"/>
      <c r="D6" s="1557"/>
      <c r="E6" s="1557"/>
      <c r="F6" s="1557"/>
      <c r="G6" s="1558"/>
    </row>
    <row r="7" spans="1:7" ht="30.75" customHeight="1" x14ac:dyDescent="0.25">
      <c r="A7" s="2330" t="s">
        <v>2071</v>
      </c>
      <c r="B7" s="2331"/>
      <c r="C7" s="2331"/>
      <c r="D7" s="2331"/>
      <c r="E7" s="2331"/>
      <c r="F7" s="2331"/>
      <c r="G7" s="2332"/>
    </row>
    <row r="8" spans="1:7" ht="15.75" customHeight="1" x14ac:dyDescent="0.25">
      <c r="A8" s="2333" t="s">
        <v>2020</v>
      </c>
      <c r="B8" s="2334"/>
      <c r="C8" s="2334"/>
      <c r="D8" s="2334"/>
      <c r="E8" s="2334"/>
      <c r="F8" s="2334"/>
      <c r="G8" s="2335"/>
    </row>
    <row r="9" spans="1:7" ht="35.25" customHeight="1" x14ac:dyDescent="0.25">
      <c r="A9" s="2330" t="s">
        <v>2019</v>
      </c>
      <c r="B9" s="2331"/>
      <c r="C9" s="2331"/>
      <c r="D9" s="2331"/>
      <c r="E9" s="2331"/>
      <c r="F9" s="2331"/>
      <c r="G9" s="2332"/>
    </row>
    <row r="10" spans="1:7" ht="15" customHeight="1" x14ac:dyDescent="0.25">
      <c r="A10" s="1559" t="s">
        <v>1923</v>
      </c>
      <c r="B10" s="1560"/>
      <c r="C10" s="1560"/>
      <c r="D10" s="1560"/>
      <c r="E10" s="1560"/>
      <c r="F10" s="1560"/>
      <c r="G10" s="1561"/>
    </row>
    <row r="11" spans="1:7" ht="17.25" customHeight="1" x14ac:dyDescent="0.25">
      <c r="A11" s="2330" t="s">
        <v>1937</v>
      </c>
      <c r="B11" s="2331"/>
      <c r="C11" s="2331"/>
      <c r="D11" s="2331"/>
      <c r="E11" s="2331"/>
      <c r="F11" s="2331"/>
      <c r="G11" s="2332"/>
    </row>
    <row r="12" spans="1:7" ht="15" customHeight="1" x14ac:dyDescent="0.25">
      <c r="A12" s="1559" t="s">
        <v>1928</v>
      </c>
      <c r="B12" s="1560"/>
      <c r="C12" s="1560"/>
      <c r="D12" s="1560"/>
      <c r="E12" s="1560"/>
      <c r="F12" s="1560"/>
      <c r="G12" s="1561"/>
    </row>
    <row r="13" spans="1:7" ht="32.25" customHeight="1" x14ac:dyDescent="0.25">
      <c r="A13" s="2321" t="s">
        <v>1929</v>
      </c>
      <c r="B13" s="2322"/>
      <c r="C13" s="2322"/>
      <c r="D13" s="2322"/>
      <c r="E13" s="2322"/>
      <c r="F13" s="2322"/>
      <c r="G13" s="2323"/>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89" t="s">
        <v>2240</v>
      </c>
      <c r="B17" s="1988" t="s">
        <v>1927</v>
      </c>
      <c r="C17" s="1984" t="s">
        <v>2211</v>
      </c>
      <c r="D17" s="1867">
        <v>60761</v>
      </c>
      <c r="E17" s="1562">
        <f t="shared" ref="E17:E141" si="1">IF(D17&lt;=25000,D17,IF(D17&gt;25000,25000,0))</f>
        <v>25000</v>
      </c>
      <c r="F17" s="1815">
        <f t="shared" si="0"/>
        <v>25000</v>
      </c>
      <c r="G17" s="1816">
        <f>IF(F17=0,0,D17-F17)</f>
        <v>35761</v>
      </c>
      <c r="H17" s="1669"/>
    </row>
    <row r="18" spans="1:8" x14ac:dyDescent="0.25">
      <c r="A18" s="1989" t="s">
        <v>2240</v>
      </c>
      <c r="B18" s="1988" t="s">
        <v>1927</v>
      </c>
      <c r="C18" s="1984" t="s">
        <v>2212</v>
      </c>
      <c r="D18" s="1867">
        <v>34768</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9768</v>
      </c>
    </row>
    <row r="19" spans="1:8" x14ac:dyDescent="0.25">
      <c r="A19" s="1989" t="s">
        <v>2241</v>
      </c>
      <c r="B19" s="1988" t="s">
        <v>2242</v>
      </c>
      <c r="C19" s="1984" t="s">
        <v>2213</v>
      </c>
      <c r="D19" s="1867">
        <v>90325</v>
      </c>
      <c r="E19" s="1562">
        <f t="shared" si="2"/>
        <v>25000</v>
      </c>
      <c r="F19" s="1815">
        <f t="shared" si="3"/>
        <v>25000</v>
      </c>
      <c r="G19" s="1816">
        <f t="shared" si="4"/>
        <v>65325</v>
      </c>
    </row>
    <row r="20" spans="1:8" x14ac:dyDescent="0.25">
      <c r="A20" s="1983" t="s">
        <v>2215</v>
      </c>
      <c r="B20" s="1988" t="s">
        <v>2239</v>
      </c>
      <c r="C20" s="1984" t="s">
        <v>2214</v>
      </c>
      <c r="D20" s="1867">
        <v>258450</v>
      </c>
      <c r="E20" s="1562">
        <f t="shared" si="2"/>
        <v>25000</v>
      </c>
      <c r="F20" s="1815">
        <f t="shared" si="3"/>
        <v>25000</v>
      </c>
      <c r="G20" s="1816">
        <f t="shared" si="4"/>
        <v>233450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444304</v>
      </c>
      <c r="E141" s="1563">
        <f t="shared" si="1"/>
        <v>25000</v>
      </c>
      <c r="F141" s="1817">
        <f>SUM(F17:F140)</f>
        <v>100000</v>
      </c>
      <c r="G141" s="1818">
        <f>SUM(G17:G140)</f>
        <v>344304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I22" sqref="I22:S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36" t="s">
        <v>1777</v>
      </c>
      <c r="B5" s="2337"/>
      <c r="C5" s="2337"/>
      <c r="D5" s="2337"/>
      <c r="E5" s="2337"/>
      <c r="F5" s="2337"/>
      <c r="G5" s="233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v>11918</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531264</v>
      </c>
      <c r="F10" s="975"/>
      <c r="G10" s="976"/>
      <c r="H10" s="162"/>
      <c r="I10" s="162"/>
    </row>
    <row r="11" spans="1:9" s="669" customFormat="1" ht="22.5" customHeight="1" x14ac:dyDescent="0.2">
      <c r="A11" s="2341" t="s">
        <v>1941</v>
      </c>
      <c r="B11" s="2342"/>
      <c r="C11" s="2342"/>
      <c r="D11" s="2343"/>
      <c r="E11" s="978">
        <v>51929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1500</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5930088</v>
      </c>
      <c r="F19" s="1822"/>
      <c r="G19" s="1824">
        <f>'Expenditures 15-22'!K33-SUM('Expenditures 15-22'!G33,'Expenditures 15-22'!I33)+'Expenditures 15-22'!D229</f>
        <v>5930088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631064</v>
      </c>
      <c r="F21" s="1825"/>
      <c r="G21" s="1828">
        <f>'Expenditures 15-22'!K42-SUM('Expenditures 15-22'!G42,'Expenditures 15-22'!I42)+'Expenditures 15-22'!K120-SUM('Expenditures 15-22'!G120,'Expenditures 15-22'!I120)+'Expenditures 15-22'!K180-SUM('Expenditures 15-22'!G180,'Expenditures 15-22'!I180)+'Expenditures 15-22'!D238</f>
        <v>631064</v>
      </c>
      <c r="H21" s="988"/>
      <c r="I21" s="162"/>
    </row>
    <row r="22" spans="1:9" s="669" customFormat="1" ht="12" customHeight="1" x14ac:dyDescent="0.2">
      <c r="A22" s="995" t="s">
        <v>584</v>
      </c>
      <c r="B22" s="996"/>
      <c r="C22" s="994">
        <v>2200</v>
      </c>
      <c r="D22" s="1825"/>
      <c r="E22" s="1827">
        <f>'Expenditures 15-22'!K47-SUM('Expenditures 15-22'!G47,'Expenditures 15-22'!I47)+'Expenditures 15-22'!D243</f>
        <v>95969</v>
      </c>
      <c r="F22" s="1825"/>
      <c r="G22" s="1828">
        <f>'Expenditures 15-22'!K47-SUM('Expenditures 15-22'!G47,'Expenditures 15-22'!I47)+'Expenditures 15-22'!D243</f>
        <v>95969</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1242414</v>
      </c>
      <c r="F23" s="1825"/>
      <c r="G23" s="1827">
        <f>'Expenditures 15-22'!K53-SUM('Expenditures 15-22'!G53,'Expenditures 15-22'!I53)+'Expenditures 15-22'!D257+'Expenditures 15-22'!K330-SUM('Expenditures 15-22'!G330,'Expenditures 15-22'!I330)</f>
        <v>1242414</v>
      </c>
      <c r="H23" s="988"/>
      <c r="I23" s="162"/>
    </row>
    <row r="24" spans="1:9" s="669" customFormat="1" ht="12" customHeight="1" x14ac:dyDescent="0.2">
      <c r="A24" s="995" t="s">
        <v>586</v>
      </c>
      <c r="B24" s="996"/>
      <c r="C24" s="994">
        <v>2400</v>
      </c>
      <c r="D24" s="1825"/>
      <c r="E24" s="1827">
        <f>'Expenditures 15-22'!K57-SUM('Expenditures 15-22'!G57,'Expenditures 15-22'!I57)+'Expenditures 15-22'!D261</f>
        <v>585482</v>
      </c>
      <c r="F24" s="1825"/>
      <c r="G24" s="1828">
        <f>'Expenditures 15-22'!K57-SUM('Expenditures 15-22'!G57,'Expenditures 15-22'!I57)+'Expenditures 15-22'!D261</f>
        <v>585482</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116205</v>
      </c>
      <c r="E27" s="1827">
        <f>E8</f>
        <v>11918</v>
      </c>
      <c r="F27" s="1827">
        <f>'Expenditures 15-22'!K60-SUM('Expenditures 15-22'!G60,'Expenditures 15-22'!I60)+'Expenditures 15-22'!D264-E8</f>
        <v>116205</v>
      </c>
      <c r="G27" s="1828">
        <f>E8</f>
        <v>11918</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897274</v>
      </c>
      <c r="F28" s="1829">
        <f>'Expenditures 15-22'!K61-SUM('Expenditures 15-22'!G61,'Expenditures 15-22'!I61)+'Expenditures 15-22'!K124-SUM('Expenditures 15-22'!G124,'Expenditures 15-22'!I124)+'Expenditures 15-22'!D266-E9</f>
        <v>897274</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1021548</v>
      </c>
      <c r="F29" s="1825"/>
      <c r="G29" s="1828">
        <f>'Expenditures 15-22'!K62-SUM('Expenditures 15-22'!G62,'Expenditures 15-22'!I62)+'Expenditures 15-22'!K125-SUM('Expenditures 15-22'!G125,'Expenditures 15-22'!I125)+'Expenditures 15-22'!K182-SUM('Expenditures 15-22'!G182,'Expenditures 15-22'!I182)+'Expenditures 15-22'!D267</f>
        <v>1021548</v>
      </c>
      <c r="H29" s="986"/>
    </row>
    <row r="30" spans="1:9" ht="12" customHeight="1" x14ac:dyDescent="0.2">
      <c r="A30" s="995" t="s">
        <v>102</v>
      </c>
      <c r="B30" s="998"/>
      <c r="C30" s="994">
        <v>2560</v>
      </c>
      <c r="D30" s="1825"/>
      <c r="E30" s="1827">
        <f>'Expenditures 15-22'!K63-SUM('Expenditures 15-22'!G63,'Expenditures 15-22'!I63)+'Expenditures 15-22'!D268-E10</f>
        <v>57555</v>
      </c>
      <c r="F30" s="1825"/>
      <c r="G30" s="1827">
        <f>'Expenditures 15-22'!K63-SUM('Expenditures 15-22'!G63,'Expenditures 15-22'!I63)+'Expenditures 15-22'!D268-E10</f>
        <v>57555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349858</v>
      </c>
      <c r="E37" s="1827">
        <f>E14</f>
        <v>1500</v>
      </c>
      <c r="F37" s="1827">
        <f>'Expenditures 15-22'!K71-SUM('Expenditures 15-22'!G71,'Expenditures 15-22'!I71)+'Expenditures 15-22'!D276-E14</f>
        <v>349858</v>
      </c>
      <c r="G37" s="1827">
        <f>E14</f>
        <v>1500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16973</v>
      </c>
      <c r="F39" s="1825"/>
      <c r="G39" s="1827">
        <f>'Expenditures 15-22'!K75-SUM('Expenditures 15-22'!G75,'Expenditures 15-22'!I75)+'Expenditures 15-22'!K130-SUM('Expenditures 15-22'!G130,'Expenditures 15-22'!I130)+'Expenditures 15-22'!K185-SUM('Expenditures 15-22'!G185,'Expenditures 15-22'!I185)+'Expenditures 15-22'!D280</f>
        <v>16973</v>
      </c>
    </row>
    <row r="40" spans="1:7" ht="12" customHeight="1" x14ac:dyDescent="0.2">
      <c r="A40" s="991" t="s">
        <v>1926</v>
      </c>
      <c r="B40" s="992"/>
      <c r="C40" s="994"/>
      <c r="D40" s="1825"/>
      <c r="E40" s="1829">
        <f>-'Contracts Paid in CY 29'!G141</f>
        <v>-344304</v>
      </c>
      <c r="F40" s="1825"/>
      <c r="G40" s="1829">
        <f>-'Contracts Paid in CY 29'!G141</f>
        <v>-344304</v>
      </c>
    </row>
    <row r="41" spans="1:7" ht="12" customHeight="1" x14ac:dyDescent="0.2">
      <c r="A41" s="999" t="s">
        <v>158</v>
      </c>
      <c r="B41" s="1000"/>
      <c r="C41" s="1001"/>
      <c r="D41" s="1829">
        <f>SUM(D19:D39)</f>
        <v>466063</v>
      </c>
      <c r="E41" s="1829">
        <f>SUM(E19:E40)</f>
        <v>10147481</v>
      </c>
      <c r="F41" s="1829">
        <f>SUM(F19:F39)</f>
        <v>1363337</v>
      </c>
      <c r="G41" s="1829">
        <f>SUM(G19:G40)</f>
        <v>9250207</v>
      </c>
    </row>
    <row r="42" spans="1:7" x14ac:dyDescent="0.2">
      <c r="A42" s="988"/>
      <c r="B42" s="162"/>
      <c r="C42" s="1002"/>
      <c r="D42" s="2339" t="s">
        <v>542</v>
      </c>
      <c r="E42" s="2340"/>
      <c r="F42" s="1003" t="s">
        <v>543</v>
      </c>
      <c r="G42" s="1004"/>
    </row>
    <row r="43" spans="1:7" ht="12" customHeight="1" x14ac:dyDescent="0.2">
      <c r="A43" s="988"/>
      <c r="B43" s="162"/>
      <c r="C43" s="1002"/>
      <c r="D43" s="1830" t="s">
        <v>492</v>
      </c>
      <c r="E43" s="1831">
        <f>D41</f>
        <v>466063</v>
      </c>
      <c r="F43" s="1830" t="s">
        <v>494</v>
      </c>
      <c r="G43" s="1831">
        <f>F41</f>
        <v>1363337</v>
      </c>
    </row>
    <row r="44" spans="1:7" ht="12" customHeight="1" x14ac:dyDescent="0.2">
      <c r="A44" s="988"/>
      <c r="B44" s="162"/>
      <c r="C44" s="1002"/>
      <c r="D44" s="1830" t="s">
        <v>493</v>
      </c>
      <c r="E44" s="1831">
        <f>E41</f>
        <v>10147481</v>
      </c>
      <c r="F44" s="1830" t="s">
        <v>493</v>
      </c>
      <c r="G44" s="1831">
        <f>G41</f>
        <v>9250207</v>
      </c>
    </row>
    <row r="45" spans="1:7" ht="12" customHeight="1" x14ac:dyDescent="0.2">
      <c r="A45" s="988"/>
      <c r="B45" s="162"/>
      <c r="C45" s="162"/>
      <c r="D45" s="1832" t="s">
        <v>1062</v>
      </c>
      <c r="E45" s="1833">
        <f>(E43/E44)</f>
        <v>4.5928935466841472E-2</v>
      </c>
      <c r="F45" s="1832" t="s">
        <v>1062</v>
      </c>
      <c r="G45" s="1833">
        <f>(G43/G44)</f>
        <v>0.14738448555799885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I22" sqref="I22:S22"/>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58" t="s">
        <v>1445</v>
      </c>
      <c r="B1" s="2358"/>
      <c r="C1" s="2358"/>
      <c r="D1" s="2358"/>
      <c r="E1" s="2358"/>
      <c r="F1" s="2358"/>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59" t="s">
        <v>1626</v>
      </c>
      <c r="B5" s="2360"/>
      <c r="C5" s="2361"/>
      <c r="D5" s="2361"/>
      <c r="E5" s="2361"/>
      <c r="F5" s="2361"/>
    </row>
    <row r="6" spans="1:10" ht="12" customHeight="1" x14ac:dyDescent="0.25">
      <c r="A6" s="1875"/>
      <c r="B6" s="1876"/>
      <c r="C6" s="2362" t="str">
        <f>COVER!A17</f>
        <v>West Carroll CUSD 314</v>
      </c>
      <c r="D6" s="2362"/>
      <c r="E6" s="2362"/>
      <c r="F6" s="1877"/>
    </row>
    <row r="7" spans="1:10" ht="11.25" customHeight="1" thickBot="1" x14ac:dyDescent="0.3">
      <c r="A7" s="1875"/>
      <c r="B7" s="1876"/>
      <c r="C7" s="2363">
        <f>COVER!A13</f>
        <v>8008314026</v>
      </c>
      <c r="D7" s="2363"/>
      <c r="E7" s="2363"/>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t="s">
        <v>2078</v>
      </c>
      <c r="D12" s="1890" t="s">
        <v>2078</v>
      </c>
      <c r="E12" s="1893" t="s">
        <v>2078</v>
      </c>
      <c r="F12" s="1892" t="s">
        <v>2216</v>
      </c>
      <c r="H12" s="1903">
        <f t="shared" ref="H12:H33" si="0">IF(C12="X",5,0)</f>
        <v>5</v>
      </c>
      <c r="I12" s="1903">
        <f t="shared" ref="I12:I33" si="1">IF(D12="X",5,0)</f>
        <v>5</v>
      </c>
      <c r="J12" s="1903">
        <f t="shared" ref="J12:J33" si="2">IF(E12="X",5,0)</f>
        <v>5</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t="s">
        <v>2078</v>
      </c>
      <c r="D17" s="1890" t="s">
        <v>2078</v>
      </c>
      <c r="E17" s="1893" t="s">
        <v>2078</v>
      </c>
      <c r="F17" s="1892" t="s">
        <v>2243</v>
      </c>
      <c r="H17" s="1903">
        <f t="shared" si="0"/>
        <v>5</v>
      </c>
      <c r="I17" s="1903">
        <f t="shared" si="1"/>
        <v>5</v>
      </c>
      <c r="J17" s="1903">
        <f t="shared" si="2"/>
        <v>5</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t="s">
        <v>2078</v>
      </c>
      <c r="D23" s="1890" t="s">
        <v>2078</v>
      </c>
      <c r="E23" s="1893" t="s">
        <v>2078</v>
      </c>
      <c r="F23" s="1892" t="s">
        <v>2223</v>
      </c>
      <c r="H23" s="1903">
        <f t="shared" si="0"/>
        <v>5</v>
      </c>
      <c r="I23" s="1903">
        <f t="shared" si="1"/>
        <v>5</v>
      </c>
      <c r="J23" s="1903">
        <f t="shared" si="2"/>
        <v>5</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t="s">
        <v>2078</v>
      </c>
      <c r="D25" s="1890" t="s">
        <v>2078</v>
      </c>
      <c r="E25" s="1893" t="s">
        <v>2078</v>
      </c>
      <c r="F25" s="1892" t="s">
        <v>2222</v>
      </c>
      <c r="H25" s="1903">
        <f t="shared" si="0"/>
        <v>5</v>
      </c>
      <c r="I25" s="1903">
        <f t="shared" si="1"/>
        <v>5</v>
      </c>
      <c r="J25" s="1903">
        <f t="shared" si="2"/>
        <v>5</v>
      </c>
    </row>
    <row r="26" spans="1:12" ht="12" customHeight="1" x14ac:dyDescent="0.2">
      <c r="A26" s="1888" t="s">
        <v>1614</v>
      </c>
      <c r="B26" s="1889"/>
      <c r="C26" s="1890" t="s">
        <v>2078</v>
      </c>
      <c r="D26" s="1890" t="s">
        <v>2078</v>
      </c>
      <c r="E26" s="1893" t="s">
        <v>2078</v>
      </c>
      <c r="F26" s="1892" t="s">
        <v>2221</v>
      </c>
      <c r="H26" s="1903">
        <f t="shared" si="0"/>
        <v>5</v>
      </c>
      <c r="I26" s="1903">
        <f t="shared" si="1"/>
        <v>5</v>
      </c>
      <c r="J26" s="1903">
        <f t="shared" si="2"/>
        <v>5</v>
      </c>
    </row>
    <row r="27" spans="1:12" ht="18.75" x14ac:dyDescent="0.2">
      <c r="A27" s="1888" t="s">
        <v>1615</v>
      </c>
      <c r="B27" s="1889"/>
      <c r="C27" s="1890" t="s">
        <v>2078</v>
      </c>
      <c r="D27" s="1890" t="s">
        <v>2078</v>
      </c>
      <c r="E27" s="1893" t="s">
        <v>2078</v>
      </c>
      <c r="F27" s="1892" t="s">
        <v>2220</v>
      </c>
      <c r="H27" s="1903">
        <f t="shared" si="0"/>
        <v>5</v>
      </c>
      <c r="I27" s="1903">
        <f t="shared" si="1"/>
        <v>5</v>
      </c>
      <c r="J27" s="1903">
        <f t="shared" si="2"/>
        <v>5</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2078</v>
      </c>
      <c r="D30" s="1890" t="s">
        <v>2078</v>
      </c>
      <c r="E30" s="1893" t="s">
        <v>2078</v>
      </c>
      <c r="F30" s="1892" t="s">
        <v>2219</v>
      </c>
      <c r="H30" s="1903">
        <f t="shared" si="0"/>
        <v>5</v>
      </c>
      <c r="I30" s="1903">
        <f t="shared" si="1"/>
        <v>5</v>
      </c>
      <c r="J30" s="1903">
        <f t="shared" si="2"/>
        <v>5</v>
      </c>
    </row>
    <row r="31" spans="1:12" ht="12" customHeight="1" x14ac:dyDescent="0.2">
      <c r="A31" s="1888" t="s">
        <v>1619</v>
      </c>
      <c r="B31" s="1889"/>
      <c r="C31" s="1890" t="s">
        <v>2078</v>
      </c>
      <c r="D31" s="1890" t="s">
        <v>2078</v>
      </c>
      <c r="E31" s="1893" t="s">
        <v>2078</v>
      </c>
      <c r="F31" s="1892" t="s">
        <v>2218</v>
      </c>
      <c r="H31" s="1903">
        <f t="shared" si="0"/>
        <v>5</v>
      </c>
      <c r="I31" s="1903">
        <f t="shared" si="1"/>
        <v>5</v>
      </c>
      <c r="J31" s="1903">
        <f t="shared" si="2"/>
        <v>5</v>
      </c>
      <c r="L31" s="1894"/>
    </row>
    <row r="32" spans="1:12" ht="12" customHeight="1" x14ac:dyDescent="0.2">
      <c r="A32" s="1888" t="s">
        <v>1620</v>
      </c>
      <c r="B32" s="1889"/>
      <c r="C32" s="1890" t="s">
        <v>2078</v>
      </c>
      <c r="D32" s="1890" t="s">
        <v>2078</v>
      </c>
      <c r="E32" s="1893" t="s">
        <v>2078</v>
      </c>
      <c r="F32" s="1892" t="s">
        <v>2217</v>
      </c>
      <c r="H32" s="1903">
        <f t="shared" si="0"/>
        <v>5</v>
      </c>
      <c r="I32" s="1903">
        <f t="shared" si="1"/>
        <v>5</v>
      </c>
      <c r="J32" s="1903">
        <f t="shared" si="2"/>
        <v>5</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45</v>
      </c>
      <c r="I34" s="1903">
        <f>SUM(I11:I32)</f>
        <v>45</v>
      </c>
      <c r="J34" s="1903">
        <f>SUM(J11:J32)</f>
        <v>45</v>
      </c>
      <c r="K34" s="1903">
        <f>SUM(H34:J34)</f>
        <v>135</v>
      </c>
    </row>
    <row r="35" spans="1:11" ht="12" customHeight="1" x14ac:dyDescent="0.2">
      <c r="A35" s="1896" t="s">
        <v>1458</v>
      </c>
      <c r="B35" s="1897"/>
      <c r="C35" s="2364"/>
      <c r="D35" s="2364"/>
      <c r="E35" s="2364"/>
      <c r="F35" s="2365"/>
    </row>
    <row r="36" spans="1:11" ht="12" customHeight="1" x14ac:dyDescent="0.2">
      <c r="A36" s="2347"/>
      <c r="B36" s="2348"/>
      <c r="C36" s="2348"/>
      <c r="D36" s="2348"/>
      <c r="E36" s="2348"/>
      <c r="F36" s="2349"/>
    </row>
    <row r="37" spans="1:11" ht="12" customHeight="1" x14ac:dyDescent="0.2">
      <c r="A37" s="2347"/>
      <c r="B37" s="2348"/>
      <c r="C37" s="2348"/>
      <c r="D37" s="2348"/>
      <c r="E37" s="2348"/>
      <c r="F37" s="2349"/>
    </row>
    <row r="38" spans="1:11" ht="12" customHeight="1" x14ac:dyDescent="0.2">
      <c r="A38" s="2350"/>
      <c r="B38" s="2351"/>
      <c r="C38" s="2351"/>
      <c r="D38" s="2351"/>
      <c r="E38" s="2351"/>
      <c r="F38" s="2352"/>
    </row>
    <row r="39" spans="1:11" ht="4.5" hidden="1" customHeight="1" x14ac:dyDescent="0.2">
      <c r="A39" s="1898"/>
      <c r="B39" s="1898"/>
      <c r="C39" s="1898"/>
      <c r="D39" s="1898"/>
      <c r="E39" s="1898"/>
      <c r="F39" s="1898"/>
    </row>
    <row r="40" spans="1:11" s="1895" customFormat="1" ht="12" customHeight="1" x14ac:dyDescent="0.25">
      <c r="A40" s="1899" t="s">
        <v>1457</v>
      </c>
      <c r="B40" s="1900"/>
      <c r="C40" s="2353"/>
      <c r="D40" s="2353"/>
      <c r="E40" s="2353"/>
      <c r="F40" s="2354"/>
      <c r="H40" s="1904"/>
      <c r="I40" s="1904"/>
      <c r="J40" s="1904"/>
      <c r="K40" s="1904"/>
    </row>
    <row r="41" spans="1:11" s="1895" customFormat="1" ht="12" customHeight="1" x14ac:dyDescent="0.25">
      <c r="A41" s="2355"/>
      <c r="B41" s="2356"/>
      <c r="C41" s="2356"/>
      <c r="D41" s="2356"/>
      <c r="E41" s="2356"/>
      <c r="F41" s="2357"/>
      <c r="H41" s="1904"/>
      <c r="I41" s="1904"/>
      <c r="J41" s="1904"/>
      <c r="K41" s="1904"/>
    </row>
    <row r="42" spans="1:11" s="1895" customFormat="1" ht="12" customHeight="1" x14ac:dyDescent="0.25">
      <c r="A42" s="2355"/>
      <c r="B42" s="2356"/>
      <c r="C42" s="2356"/>
      <c r="D42" s="2356"/>
      <c r="E42" s="2356"/>
      <c r="F42" s="2357"/>
      <c r="H42" s="1904"/>
      <c r="I42" s="1904"/>
      <c r="J42" s="1904"/>
      <c r="K42" s="1904"/>
    </row>
    <row r="43" spans="1:11" s="1895" customFormat="1" ht="15" x14ac:dyDescent="0.25">
      <c r="A43" s="2344"/>
      <c r="B43" s="2345"/>
      <c r="C43" s="2345"/>
      <c r="D43" s="2345"/>
      <c r="E43" s="2345"/>
      <c r="F43" s="2346"/>
      <c r="H43" s="1904"/>
      <c r="I43" s="1904"/>
      <c r="J43" s="1904"/>
      <c r="K43" s="1904"/>
    </row>
    <row r="44" spans="1:11" s="1895" customFormat="1" ht="12" hidden="1" customHeight="1" x14ac:dyDescent="0.25">
      <c r="A44" s="2344"/>
      <c r="B44" s="2345"/>
      <c r="C44" s="2345"/>
      <c r="D44" s="2345"/>
      <c r="E44" s="2345"/>
      <c r="F44" s="234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I22" sqref="I22:S2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71" t="str">
        <f>COVER!A17</f>
        <v>West Carroll CUSD 314</v>
      </c>
      <c r="J6" s="2372"/>
      <c r="Q6" s="1686"/>
    </row>
    <row r="7" spans="1:17" x14ac:dyDescent="0.2">
      <c r="A7" s="2373" t="s">
        <v>923</v>
      </c>
      <c r="B7" s="2374"/>
      <c r="C7" s="2374"/>
      <c r="D7" s="2374"/>
      <c r="E7" s="2375"/>
      <c r="F7" s="1018"/>
      <c r="G7" s="1010"/>
      <c r="H7" s="1017" t="s">
        <v>389</v>
      </c>
      <c r="I7" s="2376">
        <f>COVER!A13</f>
        <v>8008314026</v>
      </c>
      <c r="J7" s="237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77" t="s">
        <v>501</v>
      </c>
      <c r="B11" s="2378"/>
      <c r="C11" s="237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155774</v>
      </c>
      <c r="F12" s="1040"/>
      <c r="G12" s="1834">
        <f t="shared" ref="G12:G18" si="0">SUM(E12:F12)</f>
        <v>155774</v>
      </c>
      <c r="H12" s="1041">
        <v>156820</v>
      </c>
      <c r="I12" s="1040"/>
      <c r="J12" s="1834">
        <f t="shared" ref="J12:J18" si="1">SUM(H12:I12)</f>
        <v>156820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19278</v>
      </c>
      <c r="F14" s="1040"/>
      <c r="G14" s="1834">
        <f t="shared" si="0"/>
        <v>19278</v>
      </c>
      <c r="H14" s="1041">
        <v>16100</v>
      </c>
      <c r="I14" s="1040"/>
      <c r="J14" s="1834">
        <f t="shared" si="1"/>
        <v>16100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80" t="s">
        <v>7</v>
      </c>
      <c r="C18" s="2381"/>
      <c r="D18" s="2382"/>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175052</v>
      </c>
      <c r="F19" s="1836">
        <f t="shared" si="2"/>
        <v>0</v>
      </c>
      <c r="G19" s="1836">
        <f t="shared" si="2"/>
        <v>175052</v>
      </c>
      <c r="H19" s="1836">
        <f t="shared" si="2"/>
        <v>172920</v>
      </c>
      <c r="I19" s="1836">
        <f t="shared" si="2"/>
        <v>0</v>
      </c>
      <c r="J19" s="1836">
        <f t="shared" si="2"/>
        <v>172920</v>
      </c>
    </row>
    <row r="20" spans="1:10" ht="13.5" thickTop="1" x14ac:dyDescent="0.2">
      <c r="A20" s="1036">
        <v>9</v>
      </c>
      <c r="B20" s="2383" t="s">
        <v>1702</v>
      </c>
      <c r="C20" s="2383"/>
      <c r="D20" s="2384"/>
      <c r="E20" s="1047"/>
      <c r="F20" s="1047"/>
      <c r="G20" s="1047"/>
      <c r="H20" s="1047"/>
      <c r="I20" s="1047"/>
      <c r="J20" s="1837">
        <f>IF(AND(G19&gt;0,J19&gt;0),(((J19-G19)/G19)),"Enter Budget Data")</f>
        <v>-1.2179238169229714E-2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89"/>
      <c r="D26" s="2389"/>
      <c r="E26" s="1051"/>
      <c r="F26" s="2388"/>
      <c r="G26" s="2388"/>
    </row>
    <row r="27" spans="1:10" x14ac:dyDescent="0.2">
      <c r="B27" s="1048"/>
      <c r="C27" s="1052" t="s">
        <v>1092</v>
      </c>
      <c r="D27" s="1053"/>
      <c r="E27" s="1054"/>
      <c r="F27" s="2385" t="s">
        <v>1588</v>
      </c>
      <c r="G27" s="2385"/>
    </row>
    <row r="28" spans="1:10" ht="28.5" customHeight="1" x14ac:dyDescent="0.2">
      <c r="B28" s="1048"/>
      <c r="C28" s="2387"/>
      <c r="D28" s="2387"/>
      <c r="E28" s="1055"/>
      <c r="F28" s="2387"/>
      <c r="G28" s="2387"/>
    </row>
    <row r="29" spans="1:10" x14ac:dyDescent="0.2">
      <c r="B29" s="1048"/>
      <c r="C29" s="1056" t="s">
        <v>1641</v>
      </c>
      <c r="E29" s="1057"/>
      <c r="F29" s="2386" t="s">
        <v>1589</v>
      </c>
      <c r="G29" s="238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68" t="s">
        <v>134</v>
      </c>
      <c r="D33" s="2369"/>
      <c r="E33" s="2369"/>
      <c r="F33" s="2369"/>
      <c r="G33" s="2369"/>
      <c r="H33" s="2369"/>
      <c r="I33" s="2369"/>
    </row>
    <row r="34" spans="1:10" ht="10.35" customHeight="1" x14ac:dyDescent="0.2">
      <c r="C34" s="2369"/>
      <c r="D34" s="2369"/>
      <c r="E34" s="2369"/>
      <c r="F34" s="2369"/>
      <c r="G34" s="2369"/>
      <c r="H34" s="2369"/>
      <c r="I34" s="2369"/>
    </row>
    <row r="35" spans="1:10" ht="7.5" customHeight="1" x14ac:dyDescent="0.2">
      <c r="C35" s="1063"/>
    </row>
    <row r="36" spans="1:10" ht="13.5" customHeight="1" x14ac:dyDescent="0.2">
      <c r="B36" s="1062"/>
      <c r="C36" s="2370" t="s">
        <v>1940</v>
      </c>
      <c r="D36" s="2369"/>
      <c r="E36" s="2369"/>
      <c r="F36" s="2369"/>
      <c r="G36" s="2369"/>
      <c r="H36" s="2369"/>
      <c r="I36" s="2369"/>
      <c r="J36" s="1064"/>
    </row>
    <row r="37" spans="1:10" ht="22.5" customHeight="1" x14ac:dyDescent="0.2">
      <c r="C37" s="2369"/>
      <c r="D37" s="2369"/>
      <c r="E37" s="2369"/>
      <c r="F37" s="2369"/>
      <c r="G37" s="2369"/>
      <c r="H37" s="2369"/>
      <c r="I37" s="2369"/>
      <c r="J37" s="1064"/>
    </row>
    <row r="38" spans="1:10" ht="7.5" customHeight="1" x14ac:dyDescent="0.2">
      <c r="C38" s="1063"/>
      <c r="D38" s="1065"/>
      <c r="E38" s="1066"/>
      <c r="F38" s="1067"/>
      <c r="G38" s="1066"/>
    </row>
    <row r="39" spans="1:10" ht="13.5" customHeight="1" x14ac:dyDescent="0.2">
      <c r="B39" s="1062"/>
      <c r="C39" s="2366" t="s">
        <v>936</v>
      </c>
      <c r="D39" s="2367"/>
      <c r="E39" s="2367"/>
      <c r="F39" s="2367"/>
      <c r="G39" s="2367"/>
      <c r="H39" s="2367"/>
      <c r="I39" s="236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7"/>
  <sheetViews>
    <sheetView showGridLines="0" topLeftCell="A19" zoomScale="110" zoomScaleNormal="110" workbookViewId="0">
      <selection activeCell="I22" sqref="I22:S22"/>
    </sheetView>
  </sheetViews>
  <sheetFormatPr defaultRowHeight="12.75" x14ac:dyDescent="0.2"/>
  <cols>
    <col min="1" max="1" width="3" style="329" customWidth="1"/>
    <col min="2" max="2" width="13.7109375" style="329" customWidth="1"/>
    <col min="3" max="5" width="8.7109375" style="329" customWidth="1"/>
    <col min="6" max="6" width="38.28515625" style="329" customWidth="1"/>
    <col min="7" max="7" width="12" style="329" bestFit="1" customWidth="1"/>
    <col min="8" max="9" width="15.7109375" style="329" customWidth="1"/>
    <col min="10" max="16384" width="9.140625" style="329"/>
  </cols>
  <sheetData>
    <row r="2" spans="1:7" x14ac:dyDescent="0.2">
      <c r="A2" s="389" t="s">
        <v>276</v>
      </c>
    </row>
    <row r="3" spans="1:7" x14ac:dyDescent="0.2">
      <c r="A3" s="329" t="s">
        <v>277</v>
      </c>
    </row>
    <row r="5" spans="1:7" x14ac:dyDescent="0.2">
      <c r="A5" s="1069"/>
      <c r="B5" s="1986" t="s">
        <v>2224</v>
      </c>
      <c r="C5" s="1986" t="s">
        <v>2225</v>
      </c>
      <c r="D5" s="1986" t="s">
        <v>2226</v>
      </c>
      <c r="E5" s="1986" t="s">
        <v>2227</v>
      </c>
      <c r="F5" s="1986" t="s">
        <v>501</v>
      </c>
      <c r="G5" s="1986" t="s">
        <v>919</v>
      </c>
    </row>
    <row r="6" spans="1:7" x14ac:dyDescent="0.2">
      <c r="A6" s="1069"/>
      <c r="B6" s="1985"/>
      <c r="C6" s="1985"/>
      <c r="D6" s="1985"/>
      <c r="E6" s="1985"/>
    </row>
    <row r="7" spans="1:7" ht="13.5" thickBot="1" x14ac:dyDescent="0.25">
      <c r="A7" s="1069"/>
      <c r="B7" s="1985">
        <v>1690</v>
      </c>
      <c r="C7" s="1985">
        <v>10</v>
      </c>
      <c r="D7" s="1985">
        <v>74</v>
      </c>
      <c r="E7" s="1985">
        <v>10</v>
      </c>
      <c r="F7" s="329" t="s">
        <v>2244</v>
      </c>
      <c r="G7" s="1994">
        <v>23695</v>
      </c>
    </row>
    <row r="8" spans="1:7" ht="13.5" thickTop="1" x14ac:dyDescent="0.2">
      <c r="A8" s="1069"/>
      <c r="B8" s="1985"/>
      <c r="C8" s="1985"/>
      <c r="D8" s="1985"/>
      <c r="E8" s="1985"/>
      <c r="G8" s="1990"/>
    </row>
    <row r="9" spans="1:7" x14ac:dyDescent="0.2">
      <c r="A9" s="1070"/>
      <c r="B9" s="1985">
        <v>1999</v>
      </c>
      <c r="C9" s="1985">
        <v>10</v>
      </c>
      <c r="D9" s="1985">
        <v>107</v>
      </c>
      <c r="E9" s="1985">
        <v>11</v>
      </c>
      <c r="F9" s="329" t="s">
        <v>2235</v>
      </c>
      <c r="G9" s="1990">
        <v>45080</v>
      </c>
    </row>
    <row r="10" spans="1:7" x14ac:dyDescent="0.2">
      <c r="A10" s="1070"/>
      <c r="B10" s="1985"/>
      <c r="C10" s="1985"/>
      <c r="D10" s="1985"/>
      <c r="E10" s="1985"/>
      <c r="F10" s="329" t="s">
        <v>2236</v>
      </c>
      <c r="G10" s="1991">
        <v>88188</v>
      </c>
    </row>
    <row r="11" spans="1:7" x14ac:dyDescent="0.2">
      <c r="A11" s="1070"/>
      <c r="B11" s="1985"/>
      <c r="C11" s="1985"/>
      <c r="D11" s="1985"/>
      <c r="E11" s="1985"/>
      <c r="F11" s="329" t="s">
        <v>2234</v>
      </c>
      <c r="G11" s="1991">
        <v>15</v>
      </c>
    </row>
    <row r="12" spans="1:7" ht="13.5" thickBot="1" x14ac:dyDescent="0.25">
      <c r="A12" s="1070"/>
      <c r="B12" s="1985"/>
      <c r="C12" s="1985"/>
      <c r="D12" s="1985"/>
      <c r="E12" s="1985"/>
      <c r="G12" s="1987">
        <f>+G10+G9+G11</f>
        <v>133283</v>
      </c>
    </row>
    <row r="13" spans="1:7" ht="13.5" thickTop="1" x14ac:dyDescent="0.2">
      <c r="A13" s="1070"/>
      <c r="B13" s="1985"/>
      <c r="C13" s="1985"/>
      <c r="D13" s="1985"/>
      <c r="E13" s="1985"/>
      <c r="G13" s="1990"/>
    </row>
    <row r="14" spans="1:7" ht="13.5" thickBot="1" x14ac:dyDescent="0.25">
      <c r="A14" s="1070"/>
      <c r="B14" s="1985">
        <v>3999</v>
      </c>
      <c r="C14" s="1985">
        <v>10</v>
      </c>
      <c r="D14" s="1985">
        <v>171</v>
      </c>
      <c r="E14" s="1985">
        <v>12</v>
      </c>
      <c r="F14" s="329" t="s">
        <v>2237</v>
      </c>
      <c r="G14" s="1994">
        <v>750</v>
      </c>
    </row>
    <row r="15" spans="1:7" ht="13.5" thickTop="1" x14ac:dyDescent="0.2">
      <c r="A15" s="1070"/>
      <c r="B15" s="1985"/>
      <c r="C15" s="1985"/>
      <c r="D15" s="1985"/>
      <c r="E15" s="1985"/>
      <c r="G15" s="1990"/>
    </row>
    <row r="16" spans="1:7" x14ac:dyDescent="0.2">
      <c r="A16" s="1070"/>
      <c r="B16" s="1985">
        <v>2190</v>
      </c>
      <c r="C16" s="1985">
        <v>10</v>
      </c>
      <c r="D16" s="1985">
        <v>41</v>
      </c>
      <c r="E16" s="1985">
        <v>15</v>
      </c>
      <c r="F16" s="329" t="s">
        <v>2228</v>
      </c>
      <c r="G16" s="1992">
        <v>17737</v>
      </c>
    </row>
    <row r="17" spans="1:7" x14ac:dyDescent="0.2">
      <c r="A17" s="1070"/>
      <c r="B17" s="1985"/>
      <c r="C17" s="1985"/>
      <c r="D17" s="1985"/>
      <c r="E17" s="1985"/>
      <c r="F17" s="329" t="s">
        <v>2229</v>
      </c>
      <c r="G17" s="1992">
        <v>50</v>
      </c>
    </row>
    <row r="18" spans="1:7" ht="13.5" thickBot="1" x14ac:dyDescent="0.25">
      <c r="A18" s="1070"/>
      <c r="B18" s="1985"/>
      <c r="C18" s="1985"/>
      <c r="D18" s="1985"/>
      <c r="E18" s="1985"/>
      <c r="G18" s="1987">
        <f>SUM(G16+G17)</f>
        <v>17787</v>
      </c>
    </row>
    <row r="19" spans="1:7" ht="13.5" thickTop="1" x14ac:dyDescent="0.2">
      <c r="A19" s="1070"/>
      <c r="B19" s="1985"/>
      <c r="C19" s="1985"/>
      <c r="D19" s="1985"/>
      <c r="E19" s="1985"/>
      <c r="G19" s="1990"/>
    </row>
    <row r="20" spans="1:7" ht="13.5" thickBot="1" x14ac:dyDescent="0.25">
      <c r="A20" s="1070"/>
      <c r="B20" s="1985">
        <v>2490</v>
      </c>
      <c r="C20" s="1985">
        <v>10</v>
      </c>
      <c r="D20" s="1985">
        <v>56</v>
      </c>
      <c r="E20" s="1985">
        <v>16</v>
      </c>
      <c r="F20" s="329" t="s">
        <v>2238</v>
      </c>
      <c r="G20" s="1994">
        <v>19278</v>
      </c>
    </row>
    <row r="21" spans="1:7" ht="13.5" thickTop="1" x14ac:dyDescent="0.2">
      <c r="A21" s="1070"/>
      <c r="B21" s="1985"/>
      <c r="C21" s="1985"/>
      <c r="D21" s="1985"/>
      <c r="E21" s="1985"/>
      <c r="G21" s="1990"/>
    </row>
    <row r="22" spans="1:7" ht="13.5" thickBot="1" x14ac:dyDescent="0.25">
      <c r="A22" s="1070"/>
      <c r="B22" s="1985">
        <v>4190</v>
      </c>
      <c r="C22" s="1985">
        <v>10</v>
      </c>
      <c r="D22" s="1985">
        <v>83</v>
      </c>
      <c r="E22" s="1985">
        <v>16</v>
      </c>
      <c r="F22" s="329" t="s">
        <v>2230</v>
      </c>
      <c r="G22" s="1994">
        <v>24000</v>
      </c>
    </row>
    <row r="23" spans="1:7" ht="13.5" thickTop="1" x14ac:dyDescent="0.2">
      <c r="A23" s="1070"/>
      <c r="B23" s="1985"/>
      <c r="C23" s="1985"/>
      <c r="D23" s="1985"/>
      <c r="E23" s="1985"/>
      <c r="G23" s="1992"/>
    </row>
    <row r="24" spans="1:7" ht="13.5" thickBot="1" x14ac:dyDescent="0.25">
      <c r="A24" s="1070"/>
      <c r="B24" s="1985">
        <v>5400</v>
      </c>
      <c r="C24" s="1985">
        <v>30</v>
      </c>
      <c r="D24" s="1985">
        <v>171</v>
      </c>
      <c r="E24" s="1985">
        <v>18</v>
      </c>
      <c r="F24" s="329" t="s">
        <v>2231</v>
      </c>
      <c r="G24" s="1994">
        <v>5018</v>
      </c>
    </row>
    <row r="25" spans="1:7" ht="13.5" thickTop="1" x14ac:dyDescent="0.2">
      <c r="A25" s="1070"/>
      <c r="B25" s="1985"/>
      <c r="C25" s="1985"/>
      <c r="D25" s="1985"/>
      <c r="E25" s="1985"/>
      <c r="G25" s="1990"/>
    </row>
    <row r="26" spans="1:7" x14ac:dyDescent="0.2">
      <c r="A26" s="1070"/>
      <c r="B26" s="1985">
        <v>2190</v>
      </c>
      <c r="C26" s="1985">
        <v>40</v>
      </c>
      <c r="D26" s="1985">
        <v>180</v>
      </c>
      <c r="E26" s="1985">
        <v>18</v>
      </c>
      <c r="F26" s="329" t="s">
        <v>2232</v>
      </c>
      <c r="G26" s="1992">
        <v>67101</v>
      </c>
    </row>
    <row r="27" spans="1:7" x14ac:dyDescent="0.2">
      <c r="A27" s="1070"/>
      <c r="B27" s="1985"/>
      <c r="C27" s="1985"/>
      <c r="D27" s="1985"/>
      <c r="E27" s="1985"/>
      <c r="F27" s="329" t="s">
        <v>2233</v>
      </c>
      <c r="G27" s="1992">
        <v>6848</v>
      </c>
    </row>
    <row r="28" spans="1:7" ht="13.5" thickBot="1" x14ac:dyDescent="0.25">
      <c r="A28" s="1070"/>
      <c r="B28" s="1985"/>
      <c r="C28" s="1985"/>
      <c r="D28" s="1985"/>
      <c r="E28" s="1985"/>
      <c r="G28" s="1987">
        <f>SUM(G26:G27)</f>
        <v>73949</v>
      </c>
    </row>
    <row r="29" spans="1:7" ht="13.5" thickTop="1" x14ac:dyDescent="0.2">
      <c r="A29" s="1070"/>
      <c r="B29" s="1985"/>
      <c r="C29" s="1985"/>
      <c r="D29" s="1985"/>
      <c r="E29" s="1985"/>
      <c r="G29" s="1993"/>
    </row>
    <row r="30" spans="1:7" ht="13.5" thickBot="1" x14ac:dyDescent="0.25">
      <c r="A30" s="1070"/>
      <c r="B30" s="1985">
        <v>2190</v>
      </c>
      <c r="C30" s="1985">
        <v>50</v>
      </c>
      <c r="D30" s="1985">
        <v>237</v>
      </c>
      <c r="E30" s="1985">
        <v>19</v>
      </c>
      <c r="F30" s="329" t="s">
        <v>2229</v>
      </c>
      <c r="G30" s="1994">
        <v>23635</v>
      </c>
    </row>
    <row r="31" spans="1:7" ht="13.5" thickTop="1" x14ac:dyDescent="0.2">
      <c r="A31" s="1070"/>
      <c r="B31" s="1985"/>
      <c r="C31" s="1985"/>
      <c r="D31" s="1985"/>
      <c r="E31" s="1985"/>
      <c r="G31" s="1993"/>
    </row>
    <row r="32" spans="1:7" x14ac:dyDescent="0.2">
      <c r="A32" s="1070"/>
      <c r="B32" s="329" t="s">
        <v>2246</v>
      </c>
    </row>
    <row r="33" spans="1:2" x14ac:dyDescent="0.2">
      <c r="A33" s="1070"/>
      <c r="B33" s="329" t="s">
        <v>2245</v>
      </c>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West Carroll CUSD 314</v>
      </c>
    </row>
    <row r="67" spans="1:2" x14ac:dyDescent="0.2">
      <c r="B67" s="1071">
        <f>COVER!A13</f>
        <v>8008314026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I22" sqref="I22:S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107" t="s">
        <v>1124</v>
      </c>
      <c r="B35" s="2107"/>
      <c r="C35" s="2107"/>
      <c r="D35" s="2107"/>
      <c r="E35" s="210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4" t="s">
        <v>714</v>
      </c>
      <c r="B40" s="2104"/>
      <c r="C40" s="2104"/>
      <c r="D40" s="2104"/>
      <c r="E40" s="2104"/>
    </row>
    <row r="41" spans="1:5" x14ac:dyDescent="0.2">
      <c r="A41" s="2105" t="s">
        <v>1705</v>
      </c>
      <c r="B41" s="2105"/>
      <c r="C41" s="2105"/>
      <c r="D41" s="2105"/>
      <c r="E41" s="2105"/>
    </row>
    <row r="42" spans="1:5" ht="12.75" customHeight="1" x14ac:dyDescent="0.2">
      <c r="A42" s="2106" t="s">
        <v>1079</v>
      </c>
      <c r="B42" s="2106"/>
      <c r="C42" s="2106"/>
      <c r="D42" s="2106"/>
      <c r="E42" s="210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I22" sqref="I22:S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90" t="s">
        <v>1783</v>
      </c>
      <c r="B18" s="239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6866"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PDF"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I22" sqref="I22:S2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1" t="s">
        <v>1789</v>
      </c>
      <c r="B1" s="2392"/>
      <c r="C1" s="2392"/>
      <c r="D1" s="2392"/>
      <c r="E1" s="2392"/>
      <c r="F1" s="2393"/>
    </row>
    <row r="2" spans="1:8" ht="45" customHeight="1" x14ac:dyDescent="0.2">
      <c r="A2" s="2401" t="s">
        <v>1790</v>
      </c>
      <c r="B2" s="2402"/>
      <c r="C2" s="2402"/>
      <c r="D2" s="2402"/>
      <c r="E2" s="2402"/>
      <c r="F2" s="2403"/>
      <c r="G2" s="1075"/>
      <c r="H2" s="1075"/>
    </row>
    <row r="3" spans="1:8" ht="57" customHeight="1" x14ac:dyDescent="0.2">
      <c r="A3" s="2404" t="s">
        <v>1785</v>
      </c>
      <c r="B3" s="2405"/>
      <c r="C3" s="2405"/>
      <c r="D3" s="2405"/>
      <c r="E3" s="2405"/>
      <c r="F3" s="2406"/>
      <c r="G3" s="1075"/>
      <c r="H3" s="1075"/>
    </row>
    <row r="4" spans="1:8" ht="14.25" customHeight="1" x14ac:dyDescent="0.2">
      <c r="A4" s="2410" t="s">
        <v>2052</v>
      </c>
      <c r="B4" s="2411"/>
      <c r="C4" s="2411"/>
      <c r="D4" s="2411"/>
      <c r="E4" s="2411"/>
      <c r="F4" s="2412"/>
      <c r="G4" s="1075"/>
      <c r="H4" s="1075"/>
    </row>
    <row r="5" spans="1:8" ht="14.25" customHeight="1" x14ac:dyDescent="0.2">
      <c r="A5" s="2413" t="s">
        <v>2053</v>
      </c>
      <c r="B5" s="2414"/>
      <c r="C5" s="2414"/>
      <c r="D5" s="2414"/>
      <c r="E5" s="2414"/>
      <c r="F5" s="2415"/>
      <c r="G5" s="1075"/>
      <c r="H5" s="1075"/>
    </row>
    <row r="6" spans="1:8" s="1076" customFormat="1" ht="41.25" customHeight="1" x14ac:dyDescent="0.2">
      <c r="A6" s="2407" t="s">
        <v>1791</v>
      </c>
      <c r="B6" s="2408"/>
      <c r="C6" s="2408"/>
      <c r="D6" s="2408"/>
      <c r="E6" s="2408"/>
      <c r="F6" s="2409"/>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10481006</v>
      </c>
      <c r="C8" s="1838">
        <f>'Acct Summary 7-8'!D8</f>
        <v>578497</v>
      </c>
      <c r="D8" s="1838">
        <f>'Acct Summary 7-8'!F8</f>
        <v>1144811</v>
      </c>
      <c r="E8" s="1838">
        <f>'Acct Summary 7-8'!I8</f>
        <v>61753</v>
      </c>
      <c r="F8" s="1838">
        <f>SUM(B8:E8)</f>
        <v>12266067</v>
      </c>
    </row>
    <row r="9" spans="1:8" s="1080" customFormat="1" ht="14.25" customHeight="1" thickBot="1" x14ac:dyDescent="0.25">
      <c r="A9" s="1079" t="s">
        <v>1435</v>
      </c>
      <c r="B9" s="1839">
        <f>'Acct Summary 7-8'!C17</f>
        <v>10063986</v>
      </c>
      <c r="C9" s="1839">
        <f>'Acct Summary 7-8'!D17</f>
        <v>518295</v>
      </c>
      <c r="D9" s="1839">
        <f>'Acct Summary 7-8'!F17</f>
        <v>1002956</v>
      </c>
      <c r="E9" s="1838"/>
      <c r="F9" s="1838">
        <f>SUM(B9:E9)</f>
        <v>11585237</v>
      </c>
    </row>
    <row r="10" spans="1:8" s="1080" customFormat="1" ht="14.25" thickTop="1" thickBot="1" x14ac:dyDescent="0.25">
      <c r="A10" s="1081" t="s">
        <v>1436</v>
      </c>
      <c r="B10" s="1840">
        <f>(B8-B9)</f>
        <v>417020</v>
      </c>
      <c r="C10" s="1840">
        <f>(C8-C9)</f>
        <v>60202</v>
      </c>
      <c r="D10" s="1840">
        <f>(D8-D9)</f>
        <v>141855</v>
      </c>
      <c r="E10" s="1839">
        <f>(E8-E9)</f>
        <v>61753</v>
      </c>
      <c r="F10" s="1841">
        <f>SUM(F8-F9)</f>
        <v>680830</v>
      </c>
    </row>
    <row r="11" spans="1:8" s="1080" customFormat="1" ht="14.25" thickTop="1" thickBot="1" x14ac:dyDescent="0.25">
      <c r="A11" s="1082" t="s">
        <v>1784</v>
      </c>
      <c r="B11" s="1842">
        <f>'Acct Summary 7-8'!C81</f>
        <v>1822223</v>
      </c>
      <c r="C11" s="1842">
        <f>'Acct Summary 7-8'!D81</f>
        <v>343363</v>
      </c>
      <c r="D11" s="1842">
        <f>'Acct Summary 7-8'!F81</f>
        <v>574555</v>
      </c>
      <c r="E11" s="1842">
        <f>'Acct Summary 7-8'!I81</f>
        <v>1958383</v>
      </c>
      <c r="F11" s="1843">
        <f>SUM(B11:E11)</f>
        <v>4698524</v>
      </c>
    </row>
    <row r="12" spans="1:8" ht="16.5" customHeight="1" thickTop="1" x14ac:dyDescent="0.2">
      <c r="A12" s="1083"/>
      <c r="B12" s="1084"/>
      <c r="C12" s="2395" t="str">
        <f>IF(AND(F10&lt;0,F11&gt;=0,ABS(F10*3)&gt;ABS(F11)),A16,IF(AND(F10&lt;0,F11&gt;0,ABS(F10*3)&lt;=ABS(F11)),A17,IF(AND(F10&lt;0,F11&lt;0),A16,IF(F11=0,A19,A18))))</f>
        <v>Balanced - no deficit reduction plan is required.</v>
      </c>
      <c r="D12" s="2396"/>
      <c r="E12" s="2396"/>
      <c r="F12" s="2397"/>
    </row>
    <row r="13" spans="1:8" ht="19.5" customHeight="1" x14ac:dyDescent="0.2">
      <c r="A13" s="1085"/>
      <c r="B13" s="1086"/>
      <c r="C13" s="2395"/>
      <c r="D13" s="2396"/>
      <c r="E13" s="2396"/>
      <c r="F13" s="2397"/>
      <c r="H13" s="1075"/>
    </row>
    <row r="14" spans="1:8" ht="19.5" customHeight="1" x14ac:dyDescent="0.2">
      <c r="A14" s="1085"/>
      <c r="B14" s="1086"/>
      <c r="C14" s="2395"/>
      <c r="D14" s="2396"/>
      <c r="E14" s="2396"/>
      <c r="F14" s="2397"/>
      <c r="H14" s="1075"/>
    </row>
    <row r="15" spans="1:8" ht="17.25" customHeight="1" x14ac:dyDescent="0.2">
      <c r="A15" s="1085"/>
      <c r="B15" s="1086"/>
      <c r="C15" s="2398"/>
      <c r="D15" s="2399"/>
      <c r="E15" s="2399"/>
      <c r="F15" s="2400"/>
      <c r="H15" s="1075"/>
    </row>
    <row r="16" spans="1:8" s="310" customFormat="1" ht="51.75" hidden="1" customHeight="1" x14ac:dyDescent="0.2">
      <c r="A16" s="2394" t="s">
        <v>1786</v>
      </c>
      <c r="B16" s="2394"/>
      <c r="C16" s="2394"/>
      <c r="D16" s="2394"/>
      <c r="E16" s="2394"/>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416" t="s">
        <v>685</v>
      </c>
      <c r="B3" s="2417"/>
      <c r="C3" s="2417"/>
      <c r="D3" s="2418"/>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27" t="s">
        <v>1583</v>
      </c>
      <c r="D7" s="2428"/>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19" t="s">
        <v>1064</v>
      </c>
      <c r="B15" s="2420"/>
      <c r="C15" s="2420"/>
      <c r="D15" s="2421"/>
    </row>
    <row r="16" spans="1:4" s="669" customFormat="1" ht="24" customHeight="1" x14ac:dyDescent="0.2">
      <c r="A16" s="2422" t="s">
        <v>683</v>
      </c>
      <c r="B16" s="2423"/>
      <c r="C16" s="2423"/>
      <c r="D16" s="2424"/>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31" t="s">
        <v>331</v>
      </c>
      <c r="D21" s="2432"/>
    </row>
    <row r="22" spans="1:10" ht="12.75" x14ac:dyDescent="0.2">
      <c r="A22" s="1140"/>
      <c r="B22" s="1141">
        <v>2</v>
      </c>
      <c r="C22" s="2429" t="s">
        <v>1604</v>
      </c>
      <c r="D22" s="243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33" t="s">
        <v>556</v>
      </c>
      <c r="D43" s="243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25" t="s">
        <v>816</v>
      </c>
      <c r="D56" s="242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25" t="s">
        <v>1796</v>
      </c>
      <c r="D70" s="242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8008314026</v>
      </c>
    </row>
    <row r="3" spans="1:2" x14ac:dyDescent="0.2">
      <c r="A3" t="s">
        <v>1012</v>
      </c>
      <c r="B3" s="138" t="str">
        <f>COVER!A15</f>
        <v>Carroll</v>
      </c>
    </row>
    <row r="4" spans="1:2" x14ac:dyDescent="0.2">
      <c r="A4" t="s">
        <v>1063</v>
      </c>
      <c r="B4" s="138" t="str">
        <f>COVER!A17</f>
        <v>West Carroll CUSD 314</v>
      </c>
    </row>
    <row r="5" spans="1:2" x14ac:dyDescent="0.2">
      <c r="A5" t="s">
        <v>727</v>
      </c>
      <c r="B5" s="138" t="str">
        <f>COVER!A38</f>
        <v>Julie Katzenberger</v>
      </c>
    </row>
    <row r="6" spans="1:2" x14ac:dyDescent="0.2">
      <c r="A6" t="s">
        <v>732</v>
      </c>
      <c r="B6" s="138">
        <f>COVER!P35</f>
        <v>0</v>
      </c>
    </row>
    <row r="7" spans="1:2" x14ac:dyDescent="0.2">
      <c r="A7" t="s">
        <v>728</v>
      </c>
      <c r="B7" s="138">
        <f>COVER!I38</f>
        <v>0</v>
      </c>
    </row>
    <row r="8" spans="1:2" x14ac:dyDescent="0.2">
      <c r="A8" t="s">
        <v>729</v>
      </c>
      <c r="B8" s="138" t="str">
        <f>COVER!T38</f>
        <v xml:space="preserve">Aaron Mercier </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066-004238</v>
      </c>
    </row>
    <row r="16" spans="1:2" x14ac:dyDescent="0.2">
      <c r="A16" t="s">
        <v>441</v>
      </c>
      <c r="B16" s="138" t="str">
        <f>COVER!T13</f>
        <v xml:space="preserve">Benning Group, LLC </v>
      </c>
    </row>
    <row r="17" spans="1:2" x14ac:dyDescent="0.2">
      <c r="A17" t="s">
        <v>938</v>
      </c>
      <c r="B17" s="138" t="str">
        <f>COVER!T15</f>
        <v xml:space="preserve">Jenny L. Blocker </v>
      </c>
    </row>
    <row r="18" spans="1:2" x14ac:dyDescent="0.2">
      <c r="A18" t="s">
        <v>1211</v>
      </c>
      <c r="B18" s="138" t="str">
        <f>COVER!T17</f>
        <v>50 W. Douglas Street, Suite 801</v>
      </c>
    </row>
    <row r="19" spans="1:2" x14ac:dyDescent="0.2">
      <c r="A19" t="s">
        <v>940</v>
      </c>
      <c r="B19" s="138" t="str">
        <f>COVER!T25</f>
        <v>jblocker@benninggroup.com</v>
      </c>
    </row>
    <row r="20" spans="1:2" x14ac:dyDescent="0.2">
      <c r="A20" t="s">
        <v>941</v>
      </c>
      <c r="B20" s="138" t="str">
        <f>COVER!T19</f>
        <v>Freeport</v>
      </c>
    </row>
    <row r="21" spans="1:2" x14ac:dyDescent="0.2">
      <c r="A21" t="s">
        <v>499</v>
      </c>
      <c r="B21" s="138" t="str">
        <f>COVER!X19</f>
        <v>IL</v>
      </c>
    </row>
    <row r="22" spans="1:2" x14ac:dyDescent="0.2">
      <c r="A22" t="s">
        <v>942</v>
      </c>
      <c r="B22" s="138">
        <f>COVER!Z19</f>
        <v>61032</v>
      </c>
    </row>
    <row r="23" spans="1:2" x14ac:dyDescent="0.2">
      <c r="A23" t="s">
        <v>1213</v>
      </c>
      <c r="B23" s="138">
        <f>COVER!T21</f>
        <v>8152353157</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1834216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12023</v>
      </c>
      <c r="D86" s="2" t="str">
        <f t="shared" si="0"/>
        <v>Error?</v>
      </c>
    </row>
    <row r="87" spans="1:4" x14ac:dyDescent="0.2">
      <c r="A87" s="10">
        <v>26</v>
      </c>
      <c r="D87" s="2" t="str">
        <f t="shared" si="0"/>
        <v>OK</v>
      </c>
    </row>
    <row r="88" spans="1:4" x14ac:dyDescent="0.2">
      <c r="A88" s="5">
        <v>27</v>
      </c>
      <c r="B88" s="138">
        <f>'Assets-Liab 5-6'!C32</f>
        <v>-30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11993</v>
      </c>
      <c r="C91" s="2" t="s">
        <v>593</v>
      </c>
      <c r="D91" s="2" t="str">
        <f t="shared" si="0"/>
        <v>Error?</v>
      </c>
    </row>
    <row r="92" spans="1:4" x14ac:dyDescent="0.2">
      <c r="A92" s="5">
        <v>31</v>
      </c>
      <c r="B92" s="138">
        <f>'Assets-Liab 5-6'!C39</f>
        <v>1260156</v>
      </c>
      <c r="D92" s="2" t="str">
        <f t="shared" si="0"/>
        <v>Error?</v>
      </c>
    </row>
    <row r="93" spans="1:4" x14ac:dyDescent="0.2">
      <c r="A93" s="5">
        <v>32</v>
      </c>
      <c r="B93" s="138">
        <f>'Assets-Liab 5-6'!C41</f>
        <v>1834216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343582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219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219</v>
      </c>
      <c r="C122" s="2" t="s">
        <v>593</v>
      </c>
      <c r="D122" s="2" t="str">
        <f t="shared" si="0"/>
        <v>Error?</v>
      </c>
    </row>
    <row r="123" spans="1:4" x14ac:dyDescent="0.2">
      <c r="A123" s="5">
        <v>62</v>
      </c>
      <c r="B123" s="138">
        <f>'Assets-Liab 5-6'!D39</f>
        <v>343363</v>
      </c>
      <c r="D123" s="2" t="str">
        <f t="shared" si="0"/>
        <v>Error?</v>
      </c>
    </row>
    <row r="124" spans="1:4" x14ac:dyDescent="0.2">
      <c r="A124" s="5">
        <v>63</v>
      </c>
      <c r="B124" s="138">
        <f>'Assets-Liab 5-6'!D41</f>
        <v>343582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414999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414999</v>
      </c>
      <c r="D140" s="2" t="str">
        <f t="shared" si="1"/>
        <v>Error?</v>
      </c>
    </row>
    <row r="141" spans="1:4" x14ac:dyDescent="0.2">
      <c r="A141" s="5">
        <v>80</v>
      </c>
      <c r="B141" s="138">
        <f>'Assets-Liab 5-6'!E41</f>
        <v>414999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574369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-186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-186</v>
      </c>
      <c r="C169" s="2" t="s">
        <v>593</v>
      </c>
      <c r="D169" s="2" t="str">
        <f t="shared" si="1"/>
        <v>Error?</v>
      </c>
    </row>
    <row r="170" spans="1:4" x14ac:dyDescent="0.2">
      <c r="A170" s="5">
        <v>109</v>
      </c>
      <c r="B170" s="138">
        <f>'Assets-Liab 5-6'!F39</f>
        <v>574555</v>
      </c>
      <c r="D170" s="2" t="str">
        <f t="shared" si="1"/>
        <v>Error?</v>
      </c>
    </row>
    <row r="171" spans="1:4" x14ac:dyDescent="0.2">
      <c r="A171" s="5">
        <v>110</v>
      </c>
      <c r="B171" s="138">
        <f>'Assets-Liab 5-6'!F41</f>
        <v>574369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261488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178189</v>
      </c>
      <c r="D189" s="2" t="str">
        <f t="shared" si="1"/>
        <v>Error?</v>
      </c>
    </row>
    <row r="190" spans="1:4" x14ac:dyDescent="0.2">
      <c r="A190" s="5">
        <v>129</v>
      </c>
      <c r="B190" s="138">
        <f>'Assets-Liab 5-6'!G41</f>
        <v>261488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3111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3111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152553</v>
      </c>
      <c r="D273" s="2" t="str">
        <f t="shared" si="3"/>
        <v>Error?</v>
      </c>
    </row>
    <row r="274" spans="1:4" x14ac:dyDescent="0.2">
      <c r="A274" s="5">
        <v>213</v>
      </c>
      <c r="B274" s="138">
        <f>'Assets-Liab 5-6'!M17</f>
        <v>16837219</v>
      </c>
      <c r="D274" s="2" t="str">
        <f t="shared" si="3"/>
        <v>Error?</v>
      </c>
    </row>
    <row r="275" spans="1:4" x14ac:dyDescent="0.2">
      <c r="A275" s="5">
        <v>214</v>
      </c>
      <c r="B275" s="138">
        <f>'Assets-Liab 5-6'!M18</f>
        <v>131806</v>
      </c>
      <c r="D275" s="2" t="str">
        <f t="shared" si="3"/>
        <v>Error?</v>
      </c>
    </row>
    <row r="276" spans="1:4" x14ac:dyDescent="0.2">
      <c r="A276" s="5">
        <v>215</v>
      </c>
      <c r="B276" s="138">
        <f>'Assets-Liab 5-6'!M19</f>
        <v>1454339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18575917</v>
      </c>
      <c r="C279" s="2" t="s">
        <v>593</v>
      </c>
      <c r="D279" s="2" t="str">
        <f t="shared" si="3"/>
        <v>Error?</v>
      </c>
    </row>
    <row r="280" spans="1:4" x14ac:dyDescent="0.2">
      <c r="A280" s="5">
        <v>219</v>
      </c>
      <c r="B280" s="138">
        <f>'Assets-Liab 5-6'!M40</f>
        <v>18575917</v>
      </c>
      <c r="D280" s="2" t="str">
        <f t="shared" si="3"/>
        <v>Error?</v>
      </c>
    </row>
    <row r="281" spans="1:4" x14ac:dyDescent="0.2">
      <c r="A281" s="5">
        <v>220</v>
      </c>
      <c r="B281" s="138">
        <f>'Assets-Liab 5-6'!M41</f>
        <v>18575917</v>
      </c>
      <c r="C281" s="2" t="s">
        <v>593</v>
      </c>
      <c r="D281" s="2" t="str">
        <f t="shared" si="3"/>
        <v>Error?</v>
      </c>
    </row>
    <row r="282" spans="1:4" x14ac:dyDescent="0.2">
      <c r="A282" s="5">
        <v>221</v>
      </c>
      <c r="B282" s="138">
        <f>'Assets-Liab 5-6'!N21</f>
        <v>414999</v>
      </c>
      <c r="D282" s="2" t="str">
        <f t="shared" si="3"/>
        <v>Error?</v>
      </c>
    </row>
    <row r="283" spans="1:4" x14ac:dyDescent="0.2">
      <c r="A283" s="5">
        <v>222</v>
      </c>
      <c r="B283" s="138">
        <f>'Assets-Liab 5-6'!N22</f>
        <v>9877925</v>
      </c>
      <c r="D283" s="2" t="str">
        <f t="shared" si="3"/>
        <v>Error?</v>
      </c>
    </row>
    <row r="284" spans="1:4" x14ac:dyDescent="0.2">
      <c r="A284" s="5">
        <v>223</v>
      </c>
      <c r="B284" s="138">
        <f>'Assets-Liab 5-6'!N23</f>
        <v>10292924</v>
      </c>
      <c r="C284" s="2" t="s">
        <v>593</v>
      </c>
      <c r="D284" s="2" t="str">
        <f t="shared" si="3"/>
        <v>Error?</v>
      </c>
    </row>
    <row r="285" spans="1:4" x14ac:dyDescent="0.2">
      <c r="A285" s="5">
        <v>224</v>
      </c>
      <c r="B285" s="138">
        <f>'Assets-Liab 5-6'!N36</f>
        <v>10292924</v>
      </c>
      <c r="D285" s="2" t="str">
        <f t="shared" si="3"/>
        <v>Error?</v>
      </c>
    </row>
    <row r="286" spans="1:4" x14ac:dyDescent="0.2">
      <c r="A286" s="10">
        <v>225</v>
      </c>
      <c r="D286" s="2" t="str">
        <f t="shared" si="3"/>
        <v>OK</v>
      </c>
    </row>
    <row r="287" spans="1:4" x14ac:dyDescent="0.2">
      <c r="A287" s="5">
        <v>226</v>
      </c>
      <c r="B287" s="138">
        <f>'Assets-Liab 5-6'!N37</f>
        <v>10292924</v>
      </c>
      <c r="C287" s="2" t="s">
        <v>593</v>
      </c>
      <c r="D287" s="2" t="str">
        <f t="shared" si="3"/>
        <v>Error?</v>
      </c>
    </row>
    <row r="288" spans="1:4" x14ac:dyDescent="0.2">
      <c r="A288" s="5">
        <v>227</v>
      </c>
      <c r="B288" s="138">
        <f>'Assets-Liab 5-6'!N41</f>
        <v>10292924</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366914</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2472879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179508</v>
      </c>
      <c r="D717" s="2" t="str">
        <f t="shared" si="10"/>
        <v>Error?</v>
      </c>
    </row>
    <row r="718" spans="1:4" x14ac:dyDescent="0.2">
      <c r="A718" s="5">
        <v>657</v>
      </c>
      <c r="B718" s="138">
        <f>'Expenditures 15-22'!C14</f>
        <v>114992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4089869</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170598</v>
      </c>
      <c r="D722" s="2" t="str">
        <f t="shared" si="10"/>
        <v>Error?</v>
      </c>
    </row>
    <row r="723" spans="1:4" x14ac:dyDescent="0.2">
      <c r="A723" s="5">
        <v>662</v>
      </c>
      <c r="B723" s="138">
        <f>'Expenditures 15-22'!C38</f>
        <v>126499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17737</v>
      </c>
      <c r="D726" s="2" t="str">
        <f t="shared" si="10"/>
        <v>Error?</v>
      </c>
    </row>
    <row r="727" spans="1:4" x14ac:dyDescent="0.2">
      <c r="A727" s="5">
        <v>666</v>
      </c>
      <c r="B727" s="138">
        <f>'Expenditures 15-22'!C42</f>
        <v>314834</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52091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52091</v>
      </c>
      <c r="C731" s="2" t="s">
        <v>593</v>
      </c>
      <c r="D731" s="2" t="str">
        <f t="shared" si="10"/>
        <v>Error?</v>
      </c>
    </row>
    <row r="732" spans="1:4" x14ac:dyDescent="0.2">
      <c r="A732" s="5">
        <v>671</v>
      </c>
      <c r="B732" s="138">
        <f>'Expenditures 15-22'!C49</f>
        <v>4500</v>
      </c>
      <c r="D732" s="2" t="str">
        <f t="shared" si="10"/>
        <v>Error?</v>
      </c>
    </row>
    <row r="733" spans="1:4" x14ac:dyDescent="0.2">
      <c r="A733" s="5">
        <v>672</v>
      </c>
      <c r="B733" s="138">
        <f>'Expenditures 15-22'!C50</f>
        <v>99164</v>
      </c>
      <c r="D733" s="2" t="str">
        <f t="shared" si="10"/>
        <v>Error?</v>
      </c>
    </row>
    <row r="734" spans="1:4" x14ac:dyDescent="0.2">
      <c r="A734" s="5">
        <v>673</v>
      </c>
      <c r="B734" s="138">
        <f>'Expenditures 15-22'!C53</f>
        <v>103664</v>
      </c>
      <c r="C734" s="2" t="s">
        <v>593</v>
      </c>
      <c r="D734" s="2" t="str">
        <f t="shared" si="10"/>
        <v>Error?</v>
      </c>
    </row>
    <row r="735" spans="1:4" x14ac:dyDescent="0.2">
      <c r="A735" s="5">
        <v>674</v>
      </c>
      <c r="B735" s="138">
        <f>'Expenditures 15-22'!C55</f>
        <v>410974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410974</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101977</v>
      </c>
      <c r="D739" s="2" t="str">
        <f t="shared" si="10"/>
        <v>Error?</v>
      </c>
    </row>
    <row r="740" spans="1:4" x14ac:dyDescent="0.2">
      <c r="A740" s="5">
        <v>679</v>
      </c>
      <c r="B740" s="138">
        <f>'Expenditures 15-22'!C61</f>
        <v>242037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187221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531235</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99583</v>
      </c>
      <c r="D751" s="2" t="str">
        <f t="shared" si="10"/>
        <v>Error?</v>
      </c>
    </row>
    <row r="752" spans="1:4" x14ac:dyDescent="0.2">
      <c r="A752" s="10">
        <v>691</v>
      </c>
      <c r="D752" s="2" t="str">
        <f t="shared" si="10"/>
        <v>OK</v>
      </c>
    </row>
    <row r="753" spans="1:4" x14ac:dyDescent="0.2">
      <c r="A753" s="5">
        <v>692</v>
      </c>
      <c r="B753" s="138">
        <f>'Expenditures 15-22'!C72</f>
        <v>99583</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1512381</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5602250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753418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58486</v>
      </c>
      <c r="D775" s="2" t="str">
        <f t="shared" si="11"/>
        <v>Error?</v>
      </c>
    </row>
    <row r="776" spans="1:4" x14ac:dyDescent="0.2">
      <c r="A776" s="5">
        <v>715</v>
      </c>
      <c r="B776" s="138">
        <f>'Expenditures 15-22'!D14</f>
        <v>8377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1251143</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47399</v>
      </c>
      <c r="D780" s="2" t="str">
        <f t="shared" si="11"/>
        <v>Error?</v>
      </c>
    </row>
    <row r="781" spans="1:4" x14ac:dyDescent="0.2">
      <c r="A781" s="5">
        <v>720</v>
      </c>
      <c r="B781" s="138">
        <f>'Expenditures 15-22'!D38</f>
        <v>30794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50</v>
      </c>
      <c r="D784" s="2" t="str">
        <f t="shared" si="11"/>
        <v>Error?</v>
      </c>
    </row>
    <row r="785" spans="1:4" x14ac:dyDescent="0.2">
      <c r="A785" s="5">
        <v>724</v>
      </c>
      <c r="B785" s="138">
        <f>'Expenditures 15-22'!D42</f>
        <v>78243</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19026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19026</v>
      </c>
      <c r="C789" s="2" t="s">
        <v>593</v>
      </c>
      <c r="D789" s="2" t="str">
        <f t="shared" si="11"/>
        <v>Error?</v>
      </c>
    </row>
    <row r="790" spans="1:4" x14ac:dyDescent="0.2">
      <c r="A790" s="5">
        <v>729</v>
      </c>
      <c r="B790" s="138">
        <f>'Expenditures 15-22'!D49</f>
        <v>563</v>
      </c>
      <c r="D790" s="2" t="str">
        <f t="shared" si="11"/>
        <v>Error?</v>
      </c>
    </row>
    <row r="791" spans="1:4" x14ac:dyDescent="0.2">
      <c r="A791" s="5">
        <v>730</v>
      </c>
      <c r="B791" s="138">
        <f>'Expenditures 15-22'!D50</f>
        <v>51219</v>
      </c>
      <c r="D791" s="2" t="str">
        <f t="shared" si="11"/>
        <v>Error?</v>
      </c>
    </row>
    <row r="792" spans="1:4" x14ac:dyDescent="0.2">
      <c r="A792" s="5">
        <v>731</v>
      </c>
      <c r="B792" s="138">
        <f>'Expenditures 15-22'!D53</f>
        <v>51782</v>
      </c>
      <c r="C792" s="2" t="s">
        <v>593</v>
      </c>
      <c r="D792" s="2" t="str">
        <f t="shared" si="11"/>
        <v>Error?</v>
      </c>
    </row>
    <row r="793" spans="1:4" x14ac:dyDescent="0.2">
      <c r="A793" s="5">
        <v>732</v>
      </c>
      <c r="B793" s="138">
        <f>'Expenditures 15-22'!D55</f>
        <v>104195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104195</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v>
      </c>
      <c r="D797" s="2" t="str">
        <f t="shared" si="11"/>
        <v>Error?</v>
      </c>
    </row>
    <row r="798" spans="1:4" x14ac:dyDescent="0.2">
      <c r="A798" s="5">
        <v>737</v>
      </c>
      <c r="B798" s="138">
        <f>'Expenditures 15-22'!D61</f>
        <v>61643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56060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117820</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19150</v>
      </c>
      <c r="D809" s="2" t="str">
        <f t="shared" si="11"/>
        <v>Error?</v>
      </c>
    </row>
    <row r="810" spans="1:4" x14ac:dyDescent="0.2">
      <c r="A810" s="10">
        <v>749</v>
      </c>
      <c r="D810" s="2" t="str">
        <f t="shared" si="11"/>
        <v>OK</v>
      </c>
    </row>
    <row r="811" spans="1:4" x14ac:dyDescent="0.2">
      <c r="A811" s="5">
        <v>750</v>
      </c>
      <c r="B811" s="138">
        <f>'Expenditures 15-22'!D72</f>
        <v>19150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390216</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1641359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1247</v>
      </c>
      <c r="D833" s="2" t="str">
        <f t="shared" si="12"/>
        <v>Error?</v>
      </c>
    </row>
    <row r="834" spans="1:4" x14ac:dyDescent="0.2">
      <c r="A834" s="5">
        <v>773</v>
      </c>
      <c r="B834" s="138">
        <f>'Expenditures 15-22'!E14</f>
        <v>30421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61657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516</v>
      </c>
      <c r="D838" s="2" t="str">
        <f t="shared" si="12"/>
        <v>Error?</v>
      </c>
    </row>
    <row r="839" spans="1:4" x14ac:dyDescent="0.2">
      <c r="A839" s="5">
        <v>778</v>
      </c>
      <c r="B839" s="138">
        <f>'Expenditures 15-22'!E38</f>
        <v>3013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93901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97430</v>
      </c>
      <c r="C843" s="2" t="s">
        <v>593</v>
      </c>
      <c r="D843" s="2" t="str">
        <f t="shared" si="12"/>
        <v>Error?</v>
      </c>
    </row>
    <row r="844" spans="1:4" x14ac:dyDescent="0.2">
      <c r="A844" s="5">
        <v>783</v>
      </c>
      <c r="B844" s="138">
        <f>'Expenditures 15-22'!E44</f>
        <v>14034</v>
      </c>
      <c r="D844" s="2" t="str">
        <f t="shared" si="12"/>
        <v>Error?</v>
      </c>
    </row>
    <row r="845" spans="1:4" x14ac:dyDescent="0.2">
      <c r="A845" s="5">
        <v>784</v>
      </c>
      <c r="B845" s="138">
        <f>'Expenditures 15-22'!E45</f>
        <v>198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14232</v>
      </c>
      <c r="C847" s="2" t="s">
        <v>593</v>
      </c>
      <c r="D847" s="2" t="str">
        <f t="shared" si="12"/>
        <v>Error?</v>
      </c>
    </row>
    <row r="848" spans="1:4" x14ac:dyDescent="0.2">
      <c r="A848" s="5">
        <v>787</v>
      </c>
      <c r="B848" s="138">
        <f>'Expenditures 15-22'!E49</f>
        <v>100111</v>
      </c>
      <c r="D848" s="2" t="str">
        <f t="shared" si="12"/>
        <v>Error?</v>
      </c>
    </row>
    <row r="849" spans="1:4" x14ac:dyDescent="0.2">
      <c r="A849" s="5">
        <v>788</v>
      </c>
      <c r="B849" s="138">
        <f>'Expenditures 15-22'!E50</f>
        <v>4354</v>
      </c>
      <c r="D849" s="2" t="str">
        <f t="shared" si="12"/>
        <v>Error?</v>
      </c>
    </row>
    <row r="850" spans="1:4" x14ac:dyDescent="0.2">
      <c r="A850" s="5">
        <v>789</v>
      </c>
      <c r="B850" s="138">
        <f>'Expenditures 15-22'!E53</f>
        <v>104465</v>
      </c>
      <c r="C850" s="2" t="s">
        <v>593</v>
      </c>
      <c r="D850" s="2" t="str">
        <f t="shared" si="12"/>
        <v>Error?</v>
      </c>
    </row>
    <row r="851" spans="1:4" x14ac:dyDescent="0.2">
      <c r="A851" s="5">
        <v>790</v>
      </c>
      <c r="B851" s="138">
        <f>'Expenditures 15-22'!E55</f>
        <v>628</v>
      </c>
      <c r="D851" s="2" t="str">
        <f t="shared" si="12"/>
        <v>Error?</v>
      </c>
    </row>
    <row r="852" spans="1:4" x14ac:dyDescent="0.2">
      <c r="A852" s="5">
        <v>791</v>
      </c>
      <c r="B852" s="138">
        <f>'Expenditures 15-22'!E56</f>
        <v>19278</v>
      </c>
      <c r="D852" s="2" t="str">
        <f t="shared" si="12"/>
        <v>Error?</v>
      </c>
    </row>
    <row r="853" spans="1:4" x14ac:dyDescent="0.2">
      <c r="A853" s="5">
        <v>792</v>
      </c>
      <c r="B853" s="138">
        <f>'Expenditures 15-22'!E57</f>
        <v>19906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644</v>
      </c>
      <c r="D855" s="2" t="str">
        <f t="shared" si="12"/>
        <v>Error?</v>
      </c>
    </row>
    <row r="856" spans="1:4" x14ac:dyDescent="0.2">
      <c r="A856" s="5">
        <v>795</v>
      </c>
      <c r="B856" s="138">
        <f>'Expenditures 15-22'!E61</f>
        <v>5200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7194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189060</v>
      </c>
      <c r="D867" s="2" t="str">
        <f t="shared" si="12"/>
        <v>Error?</v>
      </c>
    </row>
    <row r="868" spans="1:4" x14ac:dyDescent="0.2">
      <c r="A868" s="10">
        <v>807</v>
      </c>
      <c r="D868" s="2" t="str">
        <f t="shared" si="12"/>
        <v>OK</v>
      </c>
    </row>
    <row r="869" spans="1:4" x14ac:dyDescent="0.2">
      <c r="A869" s="5">
        <v>808</v>
      </c>
      <c r="B869" s="138">
        <f>'Expenditures 15-22'!E72</f>
        <v>189060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432287</v>
      </c>
      <c r="C871" s="2" t="s">
        <v>593</v>
      </c>
      <c r="D871" s="2" t="str">
        <f t="shared" si="12"/>
        <v>Error?</v>
      </c>
    </row>
    <row r="872" spans="1:4" x14ac:dyDescent="0.2">
      <c r="A872" s="5">
        <v>811</v>
      </c>
      <c r="B872" s="138">
        <f>'Expenditures 15-22'!E75</f>
        <v>14751</v>
      </c>
      <c r="D872" s="2" t="str">
        <f t="shared" si="12"/>
        <v>Error?</v>
      </c>
    </row>
    <row r="873" spans="1:4" x14ac:dyDescent="0.2">
      <c r="A873" s="5">
        <v>812</v>
      </c>
      <c r="B873" s="138">
        <f>'Expenditures 15-22'!E114</f>
        <v>1246772</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117351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9681</v>
      </c>
      <c r="D891" s="2" t="str">
        <f t="shared" si="12"/>
        <v>Error?</v>
      </c>
    </row>
    <row r="892" spans="1:4" x14ac:dyDescent="0.2">
      <c r="A892" s="5">
        <v>831</v>
      </c>
      <c r="B892" s="138">
        <f>'Expenditures 15-22'!F14</f>
        <v>16131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220146</v>
      </c>
      <c r="C894" s="2" t="s">
        <v>593</v>
      </c>
      <c r="D894" s="2" t="str">
        <f t="shared" si="12"/>
        <v>Error?</v>
      </c>
    </row>
    <row r="895" spans="1:4" x14ac:dyDescent="0.2">
      <c r="A895" s="5">
        <v>834</v>
      </c>
      <c r="B895" s="138">
        <f>'Expenditures 15-22'!F36</f>
        <v>6000</v>
      </c>
      <c r="D895" s="2" t="str">
        <f t="shared" ref="D895:D958" si="13">IF(ISBLANK(B895),"OK",IF(A895-B895=0,"OK","Error?"))</f>
        <v>Error?</v>
      </c>
    </row>
    <row r="896" spans="1:4" x14ac:dyDescent="0.2">
      <c r="A896" s="5">
        <v>835</v>
      </c>
      <c r="B896" s="138">
        <f>'Expenditures 15-22'!F37</f>
        <v>1614</v>
      </c>
      <c r="D896" s="2" t="str">
        <f t="shared" si="13"/>
        <v>Error?</v>
      </c>
    </row>
    <row r="897" spans="1:4" x14ac:dyDescent="0.2">
      <c r="A897" s="5">
        <v>836</v>
      </c>
      <c r="B897" s="138">
        <f>'Expenditures 15-22'!F38</f>
        <v>4472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12160</v>
      </c>
      <c r="C901" s="2" t="s">
        <v>593</v>
      </c>
      <c r="D901" s="2" t="str">
        <f t="shared" si="13"/>
        <v>Error?</v>
      </c>
    </row>
    <row r="902" spans="1:4" x14ac:dyDescent="0.2">
      <c r="A902" s="5">
        <v>841</v>
      </c>
      <c r="B902" s="138">
        <f>'Expenditures 15-22'!F44</f>
        <v>1542</v>
      </c>
      <c r="D902" s="2" t="str">
        <f t="shared" si="13"/>
        <v>Error?</v>
      </c>
    </row>
    <row r="903" spans="1:4" x14ac:dyDescent="0.2">
      <c r="A903" s="5">
        <v>842</v>
      </c>
      <c r="B903" s="138">
        <f>'Expenditures 15-22'!F45</f>
        <v>35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1577</v>
      </c>
      <c r="C905" s="2" t="s">
        <v>593</v>
      </c>
      <c r="D905" s="2" t="str">
        <f t="shared" si="13"/>
        <v>Error?</v>
      </c>
    </row>
    <row r="906" spans="1:4" x14ac:dyDescent="0.2">
      <c r="A906" s="5">
        <v>845</v>
      </c>
      <c r="B906" s="138">
        <f>'Expenditures 15-22'!F49</f>
        <v>12348</v>
      </c>
      <c r="D906" s="2" t="str">
        <f t="shared" si="13"/>
        <v>Error?</v>
      </c>
    </row>
    <row r="907" spans="1:4" x14ac:dyDescent="0.2">
      <c r="A907" s="5">
        <v>846</v>
      </c>
      <c r="B907" s="138">
        <f>'Expenditures 15-22'!F50</f>
        <v>982</v>
      </c>
      <c r="D907" s="2" t="str">
        <f t="shared" si="13"/>
        <v>Error?</v>
      </c>
    </row>
    <row r="908" spans="1:4" x14ac:dyDescent="0.2">
      <c r="A908" s="5">
        <v>847</v>
      </c>
      <c r="B908" s="138">
        <f>'Expenditures 15-22'!F53</f>
        <v>13330</v>
      </c>
      <c r="C908" s="2" t="s">
        <v>593</v>
      </c>
      <c r="D908" s="2" t="str">
        <f t="shared" si="13"/>
        <v>Error?</v>
      </c>
    </row>
    <row r="909" spans="1:4" x14ac:dyDescent="0.2">
      <c r="A909" s="5">
        <v>848</v>
      </c>
      <c r="B909" s="138">
        <f>'Expenditures 15-22'!F55</f>
        <v>621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621</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2236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295287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297523</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16762</v>
      </c>
      <c r="D925" s="2" t="str">
        <f t="shared" si="13"/>
        <v>Error?</v>
      </c>
    </row>
    <row r="926" spans="1:4" x14ac:dyDescent="0.2">
      <c r="A926" s="10">
        <v>865</v>
      </c>
      <c r="D926" s="2" t="str">
        <f t="shared" si="13"/>
        <v>OK</v>
      </c>
    </row>
    <row r="927" spans="1:4" x14ac:dyDescent="0.2">
      <c r="A927" s="5">
        <v>866</v>
      </c>
      <c r="B927" s="138">
        <f>'Expenditures 15-22'!F72</f>
        <v>16762</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341973</v>
      </c>
      <c r="C929" s="2" t="s">
        <v>593</v>
      </c>
      <c r="D929" s="2" t="str">
        <f t="shared" si="13"/>
        <v>Error?</v>
      </c>
    </row>
    <row r="930" spans="1:4" x14ac:dyDescent="0.2">
      <c r="A930" s="5">
        <v>869</v>
      </c>
      <c r="B930" s="138">
        <f>'Expenditures 15-22'!F75</f>
        <v>2222</v>
      </c>
      <c r="D930" s="2" t="str">
        <f t="shared" si="13"/>
        <v>Error?</v>
      </c>
    </row>
    <row r="931" spans="1:4" x14ac:dyDescent="0.2">
      <c r="A931" s="5">
        <v>870</v>
      </c>
      <c r="B931" s="138">
        <f>'Expenditures 15-22'!F114</f>
        <v>564341</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4734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49764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178651</v>
      </c>
      <c r="D983" s="2" t="str">
        <f t="shared" si="14"/>
        <v>Error?</v>
      </c>
    </row>
    <row r="984" spans="1:4" x14ac:dyDescent="0.2">
      <c r="A984" s="10">
        <v>923</v>
      </c>
      <c r="D984" s="2" t="str">
        <f t="shared" si="14"/>
        <v>OK</v>
      </c>
    </row>
    <row r="985" spans="1:4" x14ac:dyDescent="0.2">
      <c r="A985" s="5">
        <v>924</v>
      </c>
      <c r="B985" s="138">
        <f>'Expenditures 15-22'!G72</f>
        <v>178651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178651</v>
      </c>
      <c r="C987" s="2" t="s">
        <v>593</v>
      </c>
      <c r="D987" s="2" t="str">
        <f t="shared" si="14"/>
        <v>Error?</v>
      </c>
    </row>
    <row r="988" spans="1:4" x14ac:dyDescent="0.2">
      <c r="A988" s="5">
        <v>927</v>
      </c>
      <c r="B988" s="138">
        <f>'Expenditures 15-22'!G75</f>
        <v>6996</v>
      </c>
      <c r="D988" s="2" t="str">
        <f t="shared" si="14"/>
        <v>Error?</v>
      </c>
    </row>
    <row r="989" spans="1:4" x14ac:dyDescent="0.2">
      <c r="A989" s="5">
        <v>928</v>
      </c>
      <c r="B989" s="138">
        <f>'Expenditures 15-22'!G114</f>
        <v>235411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153074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14754</v>
      </c>
      <c r="D1022" s="2" t="str">
        <f t="shared" si="14"/>
        <v>Error?</v>
      </c>
    </row>
    <row r="1023" spans="1:4" x14ac:dyDescent="0.2">
      <c r="A1023" s="5">
        <v>962</v>
      </c>
      <c r="B1023" s="138">
        <f>'Expenditures 15-22'!H50</f>
        <v>55</v>
      </c>
      <c r="D1023" s="2" t="str">
        <f t="shared" ref="D1023:D1086" si="15">IF(ISBLANK(B1023),"OK",IF(A1023-B1023=0,"OK","Error?"))</f>
        <v>Error?</v>
      </c>
    </row>
    <row r="1024" spans="1:4" x14ac:dyDescent="0.2">
      <c r="A1024" s="5">
        <v>963</v>
      </c>
      <c r="B1024" s="138">
        <f>'Expenditures 15-22'!H53</f>
        <v>14809</v>
      </c>
      <c r="C1024" s="2" t="s">
        <v>593</v>
      </c>
      <c r="D1024" s="2" t="str">
        <f t="shared" si="15"/>
        <v>Error?</v>
      </c>
    </row>
    <row r="1025" spans="1:4" x14ac:dyDescent="0.2">
      <c r="A1025" s="5">
        <v>964</v>
      </c>
      <c r="B1025" s="138">
        <f>'Expenditures 15-22'!H55</f>
        <v>1455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1455</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828</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17092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603687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773853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3352067</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253656</v>
      </c>
      <c r="C1105" s="2" t="s">
        <v>593</v>
      </c>
      <c r="D1105" s="2" t="str">
        <f t="shared" si="16"/>
        <v>Error?</v>
      </c>
    </row>
    <row r="1106" spans="1:4" x14ac:dyDescent="0.2">
      <c r="A1106" s="5">
        <v>1045</v>
      </c>
      <c r="B1106" s="138">
        <f>'Expenditures 15-22'!K14</f>
        <v>171860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5825653</v>
      </c>
      <c r="C1108" s="2" t="s">
        <v>593</v>
      </c>
      <c r="D1108" s="2" t="str">
        <f t="shared" si="16"/>
        <v>Error?</v>
      </c>
    </row>
    <row r="1109" spans="1:4" x14ac:dyDescent="0.2">
      <c r="A1109" s="5">
        <v>1048</v>
      </c>
      <c r="B1109" s="138">
        <f>'Expenditures 15-22'!K36</f>
        <v>6000</v>
      </c>
      <c r="C1109" s="2" t="s">
        <v>593</v>
      </c>
      <c r="D1109" s="2" t="str">
        <f t="shared" si="16"/>
        <v>Error?</v>
      </c>
    </row>
    <row r="1110" spans="1:4" x14ac:dyDescent="0.2">
      <c r="A1110" s="5">
        <v>1049</v>
      </c>
      <c r="B1110" s="138">
        <f>'Expenditures 15-22'!K37</f>
        <v>220127</v>
      </c>
      <c r="C1110" s="2" t="s">
        <v>593</v>
      </c>
      <c r="D1110" s="2" t="str">
        <f t="shared" si="16"/>
        <v>Error?</v>
      </c>
    </row>
    <row r="1111" spans="1:4" x14ac:dyDescent="0.2">
      <c r="A1111" s="5">
        <v>1050</v>
      </c>
      <c r="B1111" s="138">
        <f>'Expenditures 15-22'!K38</f>
        <v>164778</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93975</v>
      </c>
      <c r="C1113" s="2" t="s">
        <v>593</v>
      </c>
      <c r="D1113" s="2" t="str">
        <f t="shared" si="16"/>
        <v>Error?</v>
      </c>
    </row>
    <row r="1114" spans="1:4" x14ac:dyDescent="0.2">
      <c r="A1114" s="5">
        <v>1053</v>
      </c>
      <c r="B1114" s="138">
        <f>'Expenditures 15-22'!K41</f>
        <v>17787</v>
      </c>
      <c r="C1114" s="2" t="s">
        <v>593</v>
      </c>
      <c r="D1114" s="2" t="str">
        <f t="shared" si="16"/>
        <v>Error?</v>
      </c>
    </row>
    <row r="1115" spans="1:4" x14ac:dyDescent="0.2">
      <c r="A1115" s="5">
        <v>1054</v>
      </c>
      <c r="B1115" s="138">
        <f>'Expenditures 15-22'!K42</f>
        <v>502667</v>
      </c>
      <c r="C1115" s="2" t="s">
        <v>593</v>
      </c>
      <c r="D1115" s="2" t="str">
        <f t="shared" si="16"/>
        <v>Error?</v>
      </c>
    </row>
    <row r="1116" spans="1:4" x14ac:dyDescent="0.2">
      <c r="A1116" s="5">
        <v>1055</v>
      </c>
      <c r="B1116" s="138">
        <f>'Expenditures 15-22'!K44</f>
        <v>15576</v>
      </c>
      <c r="C1116" s="2" t="s">
        <v>593</v>
      </c>
      <c r="D1116" s="2" t="str">
        <f t="shared" si="16"/>
        <v>Error?</v>
      </c>
    </row>
    <row r="1117" spans="1:4" x14ac:dyDescent="0.2">
      <c r="A1117" s="5">
        <v>1056</v>
      </c>
      <c r="B1117" s="138">
        <f>'Expenditures 15-22'!K45</f>
        <v>71350</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86926</v>
      </c>
      <c r="C1119" s="2" t="s">
        <v>593</v>
      </c>
      <c r="D1119" s="2" t="str">
        <f t="shared" si="16"/>
        <v>Error?</v>
      </c>
    </row>
    <row r="1120" spans="1:4" x14ac:dyDescent="0.2">
      <c r="A1120" s="5">
        <v>1059</v>
      </c>
      <c r="B1120" s="138">
        <f>'Expenditures 15-22'!K49</f>
        <v>132276</v>
      </c>
      <c r="C1120" s="2" t="s">
        <v>593</v>
      </c>
      <c r="D1120" s="2" t="str">
        <f t="shared" si="16"/>
        <v>Error?</v>
      </c>
    </row>
    <row r="1121" spans="1:4" x14ac:dyDescent="0.2">
      <c r="A1121" s="5">
        <v>1060</v>
      </c>
      <c r="B1121" s="138">
        <f>'Expenditures 15-22'!K50</f>
        <v>155774</v>
      </c>
      <c r="C1121" s="2" t="s">
        <v>593</v>
      </c>
      <c r="D1121" s="2" t="str">
        <f t="shared" si="16"/>
        <v>Error?</v>
      </c>
    </row>
    <row r="1122" spans="1:4" x14ac:dyDescent="0.2">
      <c r="A1122" s="5">
        <v>1061</v>
      </c>
      <c r="B1122" s="138">
        <f>'Expenditures 15-22'!K53</f>
        <v>288050</v>
      </c>
      <c r="C1122" s="2" t="s">
        <v>593</v>
      </c>
      <c r="D1122" s="2" t="str">
        <f t="shared" si="16"/>
        <v>Error?</v>
      </c>
    </row>
    <row r="1123" spans="1:4" x14ac:dyDescent="0.2">
      <c r="A1123" s="5">
        <v>1062</v>
      </c>
      <c r="B1123" s="138">
        <f>'Expenditures 15-22'!K55</f>
        <v>517873</v>
      </c>
      <c r="C1123" s="2" t="s">
        <v>593</v>
      </c>
      <c r="D1123" s="2" t="str">
        <f t="shared" si="16"/>
        <v>Error?</v>
      </c>
    </row>
    <row r="1124" spans="1:4" x14ac:dyDescent="0.2">
      <c r="A1124" s="5">
        <v>1063</v>
      </c>
      <c r="B1124" s="138">
        <f>'Expenditures 15-22'!K56</f>
        <v>19278</v>
      </c>
      <c r="C1124" s="2" t="s">
        <v>593</v>
      </c>
      <c r="D1124" s="2" t="str">
        <f t="shared" si="16"/>
        <v>Error?</v>
      </c>
    </row>
    <row r="1125" spans="1:4" x14ac:dyDescent="0.2">
      <c r="A1125" s="5">
        <v>1064</v>
      </c>
      <c r="B1125" s="138">
        <f>'Expenditures 15-22'!K57</f>
        <v>537151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104974</v>
      </c>
      <c r="C1127" s="2" t="s">
        <v>593</v>
      </c>
      <c r="D1127" s="2" t="str">
        <f t="shared" si="16"/>
        <v>Error?</v>
      </c>
    </row>
    <row r="1128" spans="1:4" x14ac:dyDescent="0.2">
      <c r="A1128" s="5">
        <v>1067</v>
      </c>
      <c r="B1128" s="138">
        <f>'Expenditures 15-22'!K61</f>
        <v>308880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540746</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954600</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503206</v>
      </c>
      <c r="C1139" s="2" t="s">
        <v>593</v>
      </c>
      <c r="D1139" s="2" t="str">
        <f t="shared" si="16"/>
        <v>Error?</v>
      </c>
    </row>
    <row r="1140" spans="1:4" x14ac:dyDescent="0.2">
      <c r="A1140" s="10">
        <v>1079</v>
      </c>
      <c r="D1140" s="2" t="str">
        <f t="shared" si="16"/>
        <v>OK</v>
      </c>
    </row>
    <row r="1141" spans="1:4" x14ac:dyDescent="0.2">
      <c r="A1141" s="5">
        <v>1080</v>
      </c>
      <c r="B1141" s="138">
        <f>'Expenditures 15-22'!K72</f>
        <v>503206</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2872600</v>
      </c>
      <c r="C1143" s="2" t="s">
        <v>593</v>
      </c>
      <c r="D1143" s="2" t="str">
        <f t="shared" si="16"/>
        <v>Error?</v>
      </c>
    </row>
    <row r="1144" spans="1:4" x14ac:dyDescent="0.2">
      <c r="A1144" s="5">
        <v>1083</v>
      </c>
      <c r="B1144" s="138">
        <f>'Expenditures 15-22'!K75</f>
        <v>23969</v>
      </c>
      <c r="C1144" s="2" t="s">
        <v>593</v>
      </c>
      <c r="D1144" s="2" t="str">
        <f t="shared" si="16"/>
        <v>Error?</v>
      </c>
    </row>
    <row r="1145" spans="1:4" x14ac:dyDescent="0.2">
      <c r="A1145" s="5">
        <v>1084</v>
      </c>
      <c r="B1145" s="138">
        <f>'Expenditures 15-22'!K102</f>
        <v>1341764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10063986</v>
      </c>
      <c r="C1152" s="2" t="s">
        <v>593</v>
      </c>
      <c r="D1152" s="2" t="str">
        <f t="shared" si="17"/>
        <v>Error?</v>
      </c>
    </row>
    <row r="1153" spans="1:4" x14ac:dyDescent="0.2">
      <c r="A1153" s="5">
        <v>1092</v>
      </c>
      <c r="B1153" s="138">
        <f>'Expenditures 15-22'!K115</f>
        <v>417020</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33538</v>
      </c>
      <c r="D1221" s="2" t="str">
        <f t="shared" si="18"/>
        <v>Error?</v>
      </c>
    </row>
    <row r="1222" spans="1:4" x14ac:dyDescent="0.2">
      <c r="A1222" s="10">
        <v>1161</v>
      </c>
      <c r="D1222" s="2" t="str">
        <f t="shared" si="18"/>
        <v>OK</v>
      </c>
    </row>
    <row r="1223" spans="1:4" x14ac:dyDescent="0.2">
      <c r="A1223" s="5">
        <v>1162</v>
      </c>
      <c r="B1223" s="138">
        <f>'Expenditures 15-22'!C127</f>
        <v>33538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33538</v>
      </c>
      <c r="C1225" s="2" t="s">
        <v>593</v>
      </c>
      <c r="D1225" s="2" t="str">
        <f t="shared" si="18"/>
        <v>Error?</v>
      </c>
    </row>
    <row r="1226" spans="1:4" x14ac:dyDescent="0.2">
      <c r="A1226" s="5">
        <v>1165</v>
      </c>
      <c r="B1226" s="138">
        <f>'Expenditures 15-22'!C151</f>
        <v>33538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50</v>
      </c>
      <c r="D1229" s="2" t="str">
        <f t="shared" si="18"/>
        <v>Error?</v>
      </c>
    </row>
    <row r="1230" spans="1:4" x14ac:dyDescent="0.2">
      <c r="A1230" s="10">
        <v>1169</v>
      </c>
      <c r="D1230" s="2" t="str">
        <f t="shared" si="18"/>
        <v>OK</v>
      </c>
    </row>
    <row r="1231" spans="1:4" x14ac:dyDescent="0.2">
      <c r="A1231" s="5">
        <v>1170</v>
      </c>
      <c r="B1231" s="138">
        <f>'Expenditures 15-22'!D127</f>
        <v>50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50</v>
      </c>
      <c r="C1233" s="2" t="s">
        <v>593</v>
      </c>
      <c r="D1233" s="2" t="str">
        <f t="shared" si="18"/>
        <v>Error?</v>
      </c>
    </row>
    <row r="1234" spans="1:4" x14ac:dyDescent="0.2">
      <c r="A1234" s="5">
        <v>1173</v>
      </c>
      <c r="B1234" s="138">
        <f>'Expenditures 15-22'!D151</f>
        <v>50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112521</v>
      </c>
      <c r="D1237" s="2" t="str">
        <f t="shared" si="18"/>
        <v>Error?</v>
      </c>
    </row>
    <row r="1238" spans="1:4" x14ac:dyDescent="0.2">
      <c r="A1238" s="10">
        <v>1177</v>
      </c>
      <c r="D1238" s="2" t="str">
        <f t="shared" si="18"/>
        <v>OK</v>
      </c>
    </row>
    <row r="1239" spans="1:4" x14ac:dyDescent="0.2">
      <c r="A1239" s="5">
        <v>1178</v>
      </c>
      <c r="B1239" s="138">
        <f>'Expenditures 15-22'!E127</f>
        <v>112521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112521</v>
      </c>
      <c r="C1241" s="2" t="s">
        <v>593</v>
      </c>
      <c r="D1241" s="2" t="str">
        <f t="shared" si="18"/>
        <v>Error?</v>
      </c>
    </row>
    <row r="1242" spans="1:4" x14ac:dyDescent="0.2">
      <c r="A1242" s="5">
        <v>1181</v>
      </c>
      <c r="B1242" s="138">
        <f>'Expenditures 15-22'!E151</f>
        <v>112521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372186</v>
      </c>
      <c r="D1245" s="2" t="str">
        <f t="shared" si="18"/>
        <v>Error?</v>
      </c>
    </row>
    <row r="1246" spans="1:4" x14ac:dyDescent="0.2">
      <c r="A1246" s="10">
        <v>1185</v>
      </c>
      <c r="D1246" s="2" t="str">
        <f t="shared" si="18"/>
        <v>OK</v>
      </c>
    </row>
    <row r="1247" spans="1:4" x14ac:dyDescent="0.2">
      <c r="A1247" s="5">
        <v>1186</v>
      </c>
      <c r="B1247" s="138">
        <f>'Expenditures 15-22'!F127</f>
        <v>372186</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372186</v>
      </c>
      <c r="C1249" s="2" t="s">
        <v>593</v>
      </c>
      <c r="D1249" s="2" t="str">
        <f t="shared" si="18"/>
        <v>Error?</v>
      </c>
    </row>
    <row r="1250" spans="1:4" x14ac:dyDescent="0.2">
      <c r="A1250" s="5">
        <v>1189</v>
      </c>
      <c r="B1250" s="138">
        <f>'Expenditures 15-22'!F151</f>
        <v>372186</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593</v>
      </c>
      <c r="D1258" s="2" t="str">
        <f t="shared" si="18"/>
        <v>Error?</v>
      </c>
    </row>
    <row r="1259" spans="1:4" x14ac:dyDescent="0.2">
      <c r="A1259" s="5">
        <v>1198</v>
      </c>
      <c r="B1259" s="138">
        <f>'Expenditures 15-22'!G151</f>
        <v>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518295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518295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518295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518295</v>
      </c>
      <c r="C1288" s="2" t="s">
        <v>593</v>
      </c>
      <c r="D1288" s="2" t="str">
        <f t="shared" si="19"/>
        <v>Error?</v>
      </c>
    </row>
    <row r="1289" spans="1:4" x14ac:dyDescent="0.2">
      <c r="A1289" s="5">
        <v>1228</v>
      </c>
      <c r="B1289" s="138">
        <f>'Expenditures 15-22'!K152</f>
        <v>60202</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594880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6256313</v>
      </c>
      <c r="D1315" s="2" t="str">
        <f t="shared" si="19"/>
        <v>Error?</v>
      </c>
    </row>
    <row r="1316" spans="1:4" x14ac:dyDescent="0.2">
      <c r="A1316" s="5">
        <v>1255</v>
      </c>
      <c r="B1316" s="138">
        <f>'Expenditures 15-22'!H171</f>
        <v>5018</v>
      </c>
      <c r="D1316" s="2" t="str">
        <f t="shared" si="19"/>
        <v>Error?</v>
      </c>
    </row>
    <row r="1317" spans="1:4" x14ac:dyDescent="0.2">
      <c r="A1317" s="5">
        <v>1256</v>
      </c>
      <c r="B1317" s="138">
        <f>'Expenditures 15-22'!H172</f>
        <v>6856211</v>
      </c>
      <c r="C1317" s="2" t="s">
        <v>593</v>
      </c>
      <c r="D1317" s="2" t="str">
        <f t="shared" si="19"/>
        <v>Error?</v>
      </c>
    </row>
    <row r="1318" spans="1:4" x14ac:dyDescent="0.2">
      <c r="A1318" s="5">
        <v>1257</v>
      </c>
      <c r="B1318" s="138">
        <f>'Expenditures 15-22'!H174</f>
        <v>6856211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594880</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6256313</v>
      </c>
      <c r="C1329" s="2" t="s">
        <v>593</v>
      </c>
      <c r="D1329" s="2" t="str">
        <f t="shared" si="19"/>
        <v>Error?</v>
      </c>
    </row>
    <row r="1330" spans="1:4" x14ac:dyDescent="0.2">
      <c r="A1330" s="5">
        <v>1269</v>
      </c>
      <c r="B1330" s="138">
        <f>'Expenditures 15-22'!K171</f>
        <v>5018</v>
      </c>
      <c r="C1330" s="2" t="s">
        <v>593</v>
      </c>
      <c r="D1330" s="2" t="str">
        <f t="shared" si="19"/>
        <v>Error?</v>
      </c>
    </row>
    <row r="1331" spans="1:4" x14ac:dyDescent="0.2">
      <c r="A1331" s="5">
        <v>1270</v>
      </c>
      <c r="B1331" s="138">
        <f>'Expenditures 15-22'!K172</f>
        <v>6856211</v>
      </c>
      <c r="C1331" s="2" t="s">
        <v>593</v>
      </c>
      <c r="D1331" s="2" t="str">
        <f t="shared" si="19"/>
        <v>Error?</v>
      </c>
    </row>
    <row r="1332" spans="1:4" x14ac:dyDescent="0.2">
      <c r="A1332" s="5">
        <v>1271</v>
      </c>
      <c r="B1332" s="138">
        <f>'Expenditures 15-22'!K174</f>
        <v>6856211</v>
      </c>
      <c r="C1332" s="2" t="s">
        <v>593</v>
      </c>
      <c r="D1332" s="2" t="str">
        <f t="shared" si="19"/>
        <v>Error?</v>
      </c>
    </row>
    <row r="1333" spans="1:4" x14ac:dyDescent="0.2">
      <c r="A1333" s="5">
        <v>1272</v>
      </c>
      <c r="B1333" s="138">
        <f>'Expenditures 15-22'!K175</f>
        <v>-5415249</v>
      </c>
      <c r="C1333" s="2" t="s">
        <v>593</v>
      </c>
      <c r="D1333" s="2" t="str">
        <f t="shared" si="19"/>
        <v>Error?</v>
      </c>
    </row>
    <row r="1334" spans="1:4" x14ac:dyDescent="0.2">
      <c r="A1334" s="10">
        <v>1273</v>
      </c>
      <c r="D1334" s="2" t="str">
        <f t="shared" si="19"/>
        <v>OK</v>
      </c>
    </row>
    <row r="1335" spans="1:4" x14ac:dyDescent="0.2">
      <c r="A1335" s="5">
        <v>1274</v>
      </c>
      <c r="B1335" s="138">
        <f>'Expenditures 15-22'!C182</f>
        <v>452717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519818</v>
      </c>
      <c r="C1339" s="2" t="s">
        <v>593</v>
      </c>
      <c r="D1339" s="2" t="str">
        <f t="shared" si="19"/>
        <v>Error?</v>
      </c>
    </row>
    <row r="1340" spans="1:4" x14ac:dyDescent="0.2">
      <c r="A1340" s="5">
        <v>1279</v>
      </c>
      <c r="B1340" s="138">
        <f>'Expenditures 15-22'!C210</f>
        <v>519818</v>
      </c>
      <c r="C1340" s="2" t="s">
        <v>593</v>
      </c>
      <c r="D1340" s="2" t="str">
        <f t="shared" si="19"/>
        <v>Error?</v>
      </c>
    </row>
    <row r="1341" spans="1:4" x14ac:dyDescent="0.2">
      <c r="A1341" s="5">
        <v>1280</v>
      </c>
      <c r="B1341" s="138">
        <f>'Expenditures 15-22'!D182</f>
        <v>37060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43908</v>
      </c>
      <c r="C1345" s="2" t="s">
        <v>593</v>
      </c>
      <c r="D1345" s="2" t="str">
        <f t="shared" si="20"/>
        <v>Error?</v>
      </c>
    </row>
    <row r="1346" spans="1:4" x14ac:dyDescent="0.2">
      <c r="A1346" s="5">
        <v>1285</v>
      </c>
      <c r="B1346" s="138">
        <f>'Expenditures 15-22'!D210</f>
        <v>43908</v>
      </c>
      <c r="C1346" s="2" t="s">
        <v>593</v>
      </c>
      <c r="D1346" s="2" t="str">
        <f t="shared" si="20"/>
        <v>Error?</v>
      </c>
    </row>
    <row r="1347" spans="1:4" x14ac:dyDescent="0.2">
      <c r="A1347" s="5">
        <v>1286</v>
      </c>
      <c r="B1347" s="138">
        <f>'Expenditures 15-22'!E182</f>
        <v>334941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334941</v>
      </c>
      <c r="C1351" s="2" t="s">
        <v>593</v>
      </c>
      <c r="D1351" s="2" t="str">
        <f t="shared" si="20"/>
        <v>Error?</v>
      </c>
    </row>
    <row r="1352" spans="1:4" x14ac:dyDescent="0.2">
      <c r="A1352" s="5">
        <v>1291</v>
      </c>
      <c r="B1352" s="138">
        <f>'Expenditures 15-22'!E196</f>
        <v>100</v>
      </c>
      <c r="C1352" s="2" t="s">
        <v>593</v>
      </c>
      <c r="D1352" s="2" t="str">
        <f t="shared" si="20"/>
        <v>Error?</v>
      </c>
    </row>
    <row r="1353" spans="1:4" x14ac:dyDescent="0.2">
      <c r="A1353" s="5">
        <v>1292</v>
      </c>
      <c r="B1353" s="138">
        <f>'Expenditures 15-22'!E210</f>
        <v>335041</v>
      </c>
      <c r="C1353" s="2" t="s">
        <v>593</v>
      </c>
      <c r="D1353" s="2" t="str">
        <f t="shared" si="20"/>
        <v>Error?</v>
      </c>
    </row>
    <row r="1354" spans="1:4" x14ac:dyDescent="0.2">
      <c r="A1354" s="5">
        <v>1293</v>
      </c>
      <c r="B1354" s="138">
        <f>'Expenditures 15-22'!F182</f>
        <v>104179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104179</v>
      </c>
      <c r="C1358" s="2" t="s">
        <v>593</v>
      </c>
      <c r="D1358" s="2" t="str">
        <f t="shared" si="20"/>
        <v>Error?</v>
      </c>
    </row>
    <row r="1359" spans="1:4" x14ac:dyDescent="0.2">
      <c r="A1359" s="5">
        <v>1298</v>
      </c>
      <c r="B1359" s="138">
        <f>'Expenditures 15-22'!F210</f>
        <v>104179</v>
      </c>
      <c r="C1359" s="2" t="s">
        <v>593</v>
      </c>
      <c r="D1359" s="2" t="str">
        <f t="shared" si="20"/>
        <v>Error?</v>
      </c>
    </row>
    <row r="1360" spans="1:4" x14ac:dyDescent="0.2">
      <c r="A1360" s="5">
        <v>1299</v>
      </c>
      <c r="B1360" s="138">
        <f>'Expenditures 15-22'!G182</f>
        <v>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v>
      </c>
      <c r="C1364" s="2" t="s">
        <v>593</v>
      </c>
      <c r="D1364" s="2" t="str">
        <f t="shared" si="20"/>
        <v>Error?</v>
      </c>
    </row>
    <row r="1365" spans="1:4" x14ac:dyDescent="0.2">
      <c r="A1365" s="5">
        <v>1304</v>
      </c>
      <c r="B1365" s="138">
        <f>'Expenditures 15-22'!G210</f>
        <v>10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928907</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1002856</v>
      </c>
      <c r="C1381" s="2" t="s">
        <v>593</v>
      </c>
      <c r="D1381" s="2" t="str">
        <f t="shared" si="20"/>
        <v>Error?</v>
      </c>
    </row>
    <row r="1382" spans="1:4" x14ac:dyDescent="0.2">
      <c r="A1382" s="5">
        <v>1321</v>
      </c>
      <c r="B1382" s="138">
        <f>'Expenditures 15-22'!K196</f>
        <v>100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1002956</v>
      </c>
      <c r="C1388" s="2" t="s">
        <v>593</v>
      </c>
      <c r="D1388" s="2" t="str">
        <f t="shared" si="20"/>
        <v>Error?</v>
      </c>
    </row>
    <row r="1389" spans="1:4" x14ac:dyDescent="0.2">
      <c r="A1389" s="5">
        <v>1328</v>
      </c>
      <c r="B1389" s="138">
        <f>'Expenditures 15-22'!K211</f>
        <v>141855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3131</v>
      </c>
      <c r="D1406" s="2" t="str">
        <f t="shared" si="20"/>
        <v>Error?</v>
      </c>
    </row>
    <row r="1407" spans="1:4" x14ac:dyDescent="0.2">
      <c r="A1407" s="5">
        <v>1346</v>
      </c>
      <c r="B1407" s="138">
        <f>'Expenditures 15-22'!D222</f>
        <v>6236</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154199</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2278</v>
      </c>
      <c r="D1412" s="2" t="str">
        <f t="shared" si="21"/>
        <v>Error?</v>
      </c>
    </row>
    <row r="1413" spans="1:4" x14ac:dyDescent="0.2">
      <c r="A1413" s="5">
        <v>1352</v>
      </c>
      <c r="B1413" s="138">
        <f>'Expenditures 15-22'!D234</f>
        <v>28535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23635</v>
      </c>
      <c r="D1416" s="2" t="str">
        <f t="shared" si="21"/>
        <v>Error?</v>
      </c>
    </row>
    <row r="1417" spans="1:4" x14ac:dyDescent="0.2">
      <c r="A1417" s="5">
        <v>1356</v>
      </c>
      <c r="B1417" s="138">
        <f>'Expenditures 15-22'!D238</f>
        <v>54448</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9043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9043</v>
      </c>
      <c r="C1421" s="2" t="s">
        <v>593</v>
      </c>
      <c r="D1421" s="2" t="str">
        <f t="shared" si="21"/>
        <v>Error?</v>
      </c>
    </row>
    <row r="1422" spans="1:4" x14ac:dyDescent="0.2">
      <c r="A1422" s="5">
        <v>1361</v>
      </c>
      <c r="B1422" s="138">
        <f>'Expenditures 15-22'!D245</f>
        <v>543</v>
      </c>
      <c r="D1422" s="2" t="str">
        <f t="shared" si="21"/>
        <v>Error?</v>
      </c>
    </row>
    <row r="1423" spans="1:4" x14ac:dyDescent="0.2">
      <c r="A1423" s="5">
        <v>1362</v>
      </c>
      <c r="B1423" s="138">
        <f>'Expenditures 15-22'!D246</f>
        <v>10857</v>
      </c>
      <c r="D1423" s="2" t="str">
        <f t="shared" si="21"/>
        <v>Error?</v>
      </c>
    </row>
    <row r="1424" spans="1:4" x14ac:dyDescent="0.2">
      <c r="A1424" s="5">
        <v>1363</v>
      </c>
      <c r="B1424" s="138">
        <f>'Expenditures 15-22'!D257</f>
        <v>11400</v>
      </c>
      <c r="C1424" s="2" t="s">
        <v>593</v>
      </c>
      <c r="D1424" s="2" t="str">
        <f t="shared" si="21"/>
        <v>Error?</v>
      </c>
    </row>
    <row r="1425" spans="1:4" x14ac:dyDescent="0.2">
      <c r="A1425" s="5">
        <v>1364</v>
      </c>
      <c r="B1425" s="138">
        <f>'Expenditures 15-22'!D259</f>
        <v>48331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48331</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23149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70099</v>
      </c>
      <c r="D1431" s="2" t="str">
        <f t="shared" si="21"/>
        <v>Error?</v>
      </c>
    </row>
    <row r="1432" spans="1:4" x14ac:dyDescent="0.2">
      <c r="A1432" s="5">
        <v>1371</v>
      </c>
      <c r="B1432" s="138">
        <f>'Expenditures 15-22'!D267</f>
        <v>92651</v>
      </c>
      <c r="D1432" s="2" t="str">
        <f t="shared" si="21"/>
        <v>Error?</v>
      </c>
    </row>
    <row r="1433" spans="1:4" x14ac:dyDescent="0.2">
      <c r="A1433" s="5">
        <v>1372</v>
      </c>
      <c r="B1433" s="138">
        <f>'Expenditures 15-22'!D268</f>
        <v>48073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233972</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26803</v>
      </c>
      <c r="D1442" s="2" t="str">
        <f t="shared" si="21"/>
        <v>Error?</v>
      </c>
    </row>
    <row r="1443" spans="1:4" x14ac:dyDescent="0.2">
      <c r="A1443" s="10">
        <v>1382</v>
      </c>
      <c r="D1443" s="2" t="str">
        <f t="shared" si="21"/>
        <v>OK</v>
      </c>
    </row>
    <row r="1444" spans="1:4" x14ac:dyDescent="0.2">
      <c r="A1444" s="5">
        <v>1383</v>
      </c>
      <c r="B1444" s="138">
        <f>'Expenditures 15-22'!D277</f>
        <v>26803</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383997</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538196</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3131</v>
      </c>
      <c r="C1470" s="2" t="s">
        <v>593</v>
      </c>
      <c r="D1470" s="2" t="str">
        <f t="shared" si="21"/>
        <v>Error?</v>
      </c>
    </row>
    <row r="1471" spans="1:4" x14ac:dyDescent="0.2">
      <c r="A1471" s="5">
        <v>1410</v>
      </c>
      <c r="B1471" s="138">
        <f>'Expenditures 15-22'!K222</f>
        <v>6236</v>
      </c>
      <c r="C1471" s="2" t="s">
        <v>593</v>
      </c>
      <c r="D1471" s="2" t="str">
        <f t="shared" ref="D1471:D1534" si="22">IF(ISBLANK(B1471),"OK",IF(A1471-B1471=0,"OK","Error?"))</f>
        <v>Error?</v>
      </c>
    </row>
    <row r="1472" spans="1:4" x14ac:dyDescent="0.2">
      <c r="A1472" s="5">
        <v>1411</v>
      </c>
      <c r="B1472" s="138">
        <f>'Expenditures 15-22'!K223</f>
        <v>0</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154199</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2278</v>
      </c>
      <c r="C1476" s="2" t="s">
        <v>593</v>
      </c>
      <c r="D1476" s="2" t="str">
        <f t="shared" si="22"/>
        <v>Error?</v>
      </c>
    </row>
    <row r="1477" spans="1:4" x14ac:dyDescent="0.2">
      <c r="A1477" s="5">
        <v>1416</v>
      </c>
      <c r="B1477" s="138">
        <f>'Expenditures 15-22'!K234</f>
        <v>28535</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23635</v>
      </c>
      <c r="C1480" s="2" t="s">
        <v>593</v>
      </c>
      <c r="D1480" s="2" t="str">
        <f t="shared" si="22"/>
        <v>Error?</v>
      </c>
    </row>
    <row r="1481" spans="1:4" x14ac:dyDescent="0.2">
      <c r="A1481" s="5">
        <v>1420</v>
      </c>
      <c r="B1481" s="138">
        <f>'Expenditures 15-22'!K238</f>
        <v>54448</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9043</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9043</v>
      </c>
      <c r="C1485" s="2" t="s">
        <v>593</v>
      </c>
      <c r="D1485" s="2" t="str">
        <f t="shared" si="22"/>
        <v>Error?</v>
      </c>
    </row>
    <row r="1486" spans="1:4" x14ac:dyDescent="0.2">
      <c r="A1486" s="5">
        <v>1425</v>
      </c>
      <c r="B1486" s="138">
        <f>'Expenditures 15-22'!K245</f>
        <v>543</v>
      </c>
      <c r="C1486" s="2" t="s">
        <v>593</v>
      </c>
      <c r="D1486" s="2" t="str">
        <f t="shared" si="22"/>
        <v>Error?</v>
      </c>
    </row>
    <row r="1487" spans="1:4" x14ac:dyDescent="0.2">
      <c r="A1487" s="5">
        <v>1426</v>
      </c>
      <c r="B1487" s="138">
        <f>'Expenditures 15-22'!K246</f>
        <v>10857</v>
      </c>
      <c r="C1487" s="2" t="s">
        <v>593</v>
      </c>
      <c r="D1487" s="2" t="str">
        <f t="shared" si="22"/>
        <v>Error?</v>
      </c>
    </row>
    <row r="1488" spans="1:4" x14ac:dyDescent="0.2">
      <c r="A1488" s="5">
        <v>1427</v>
      </c>
      <c r="B1488" s="138">
        <f>'Expenditures 15-22'!K257</f>
        <v>11400</v>
      </c>
      <c r="C1488" s="2" t="s">
        <v>593</v>
      </c>
      <c r="D1488" s="2" t="str">
        <f t="shared" si="22"/>
        <v>Error?</v>
      </c>
    </row>
    <row r="1489" spans="1:4" x14ac:dyDescent="0.2">
      <c r="A1489" s="5">
        <v>1428</v>
      </c>
      <c r="B1489" s="138">
        <f>'Expenditures 15-22'!K259</f>
        <v>48331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48331</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23149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70099</v>
      </c>
      <c r="C1495" s="2" t="s">
        <v>593</v>
      </c>
      <c r="D1495" s="2" t="str">
        <f t="shared" si="22"/>
        <v>Error?</v>
      </c>
    </row>
    <row r="1496" spans="1:4" x14ac:dyDescent="0.2">
      <c r="A1496" s="5">
        <v>1435</v>
      </c>
      <c r="B1496" s="138">
        <f>'Expenditures 15-22'!K267</f>
        <v>92651</v>
      </c>
      <c r="C1496" s="2" t="s">
        <v>593</v>
      </c>
      <c r="D1496" s="2" t="str">
        <f t="shared" si="22"/>
        <v>Error?</v>
      </c>
    </row>
    <row r="1497" spans="1:4" x14ac:dyDescent="0.2">
      <c r="A1497" s="5">
        <v>1436</v>
      </c>
      <c r="B1497" s="138">
        <f>'Expenditures 15-22'!K268</f>
        <v>48073</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233972</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26803</v>
      </c>
      <c r="C1506" s="2" t="s">
        <v>593</v>
      </c>
      <c r="D1506" s="2" t="str">
        <f t="shared" si="22"/>
        <v>Error?</v>
      </c>
    </row>
    <row r="1507" spans="1:4" x14ac:dyDescent="0.2">
      <c r="A1507" s="10">
        <v>1446</v>
      </c>
      <c r="D1507" s="2" t="str">
        <f t="shared" si="22"/>
        <v>OK</v>
      </c>
    </row>
    <row r="1508" spans="1:4" x14ac:dyDescent="0.2">
      <c r="A1508" s="5">
        <v>1447</v>
      </c>
      <c r="B1508" s="138">
        <f>'Expenditures 15-22'!K277</f>
        <v>26803</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383997</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538196</v>
      </c>
      <c r="C1517" s="2" t="s">
        <v>593</v>
      </c>
      <c r="D1517" s="2" t="str">
        <f t="shared" si="22"/>
        <v>Error?</v>
      </c>
    </row>
    <row r="1518" spans="1:4" x14ac:dyDescent="0.2">
      <c r="A1518" s="5">
        <v>1457</v>
      </c>
      <c r="B1518" s="138">
        <f>'Expenditures 15-22'!K296</f>
        <v>-123964</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595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460661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1822223</v>
      </c>
      <c r="C1630" s="2" t="s">
        <v>593</v>
      </c>
      <c r="D1630" s="2" t="str">
        <f t="shared" si="24"/>
        <v>Error?</v>
      </c>
    </row>
    <row r="1631" spans="1:4" x14ac:dyDescent="0.2">
      <c r="A1631" s="5">
        <v>1570</v>
      </c>
      <c r="B1631" s="138">
        <f>'Acct Summary 7-8'!D79</f>
        <v>283161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343363</v>
      </c>
      <c r="C1644" s="2" t="s">
        <v>593</v>
      </c>
      <c r="D1644" s="2" t="str">
        <f t="shared" si="24"/>
        <v>Error?</v>
      </c>
    </row>
    <row r="1645" spans="1:4" x14ac:dyDescent="0.2">
      <c r="A1645" s="5">
        <v>1584</v>
      </c>
      <c r="B1645" s="138">
        <f>'Acct Summary 7-8'!E79</f>
        <v>613653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414999</v>
      </c>
      <c r="C1658" s="2" t="s">
        <v>593</v>
      </c>
      <c r="D1658" s="2" t="str">
        <f t="shared" si="24"/>
        <v>Error?</v>
      </c>
    </row>
    <row r="1659" spans="1:4" x14ac:dyDescent="0.2">
      <c r="A1659" s="5">
        <v>1598</v>
      </c>
      <c r="B1659" s="138">
        <f>'Acct Summary 7-8'!F79</f>
        <v>32700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574555</v>
      </c>
      <c r="C1672" s="2" t="s">
        <v>593</v>
      </c>
      <c r="D1672" s="2" t="str">
        <f t="shared" si="25"/>
        <v>Error?</v>
      </c>
    </row>
    <row r="1673" spans="1:4" x14ac:dyDescent="0.2">
      <c r="A1673" s="5">
        <v>1612</v>
      </c>
      <c r="B1673" s="138">
        <f>'Acct Summary 7-8'!G79</f>
        <v>385452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261488</v>
      </c>
      <c r="C1686" s="2" t="s">
        <v>593</v>
      </c>
      <c r="D1686" s="2" t="str">
        <f t="shared" si="25"/>
        <v>Error?</v>
      </c>
    </row>
    <row r="1687" spans="1:4" x14ac:dyDescent="0.2">
      <c r="A1687" s="5">
        <v>1626</v>
      </c>
      <c r="B1687" s="138">
        <f>'Acct Summary 7-8'!H79</f>
        <v>2516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3111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3024125</v>
      </c>
      <c r="C1744" s="2" t="s">
        <v>593</v>
      </c>
      <c r="D1744" s="2" t="str">
        <f t="shared" si="26"/>
        <v>Error?</v>
      </c>
    </row>
    <row r="1745" spans="1:5" x14ac:dyDescent="0.2">
      <c r="A1745" s="5">
        <v>1684</v>
      </c>
      <c r="B1745" s="138">
        <f>'Tax Sched 23'!B5</f>
        <v>541962</v>
      </c>
      <c r="C1745" s="2" t="s">
        <v>593</v>
      </c>
      <c r="D1745" s="2" t="str">
        <f t="shared" si="26"/>
        <v>Error?</v>
      </c>
    </row>
    <row r="1746" spans="1:5" x14ac:dyDescent="0.2">
      <c r="A1746" s="5">
        <v>1685</v>
      </c>
      <c r="B1746" s="138">
        <f>'Tax Sched 23'!B6</f>
        <v>1437402</v>
      </c>
      <c r="C1746" s="2" t="s">
        <v>593</v>
      </c>
      <c r="D1746" s="2" t="str">
        <f t="shared" si="26"/>
        <v>Error?</v>
      </c>
    </row>
    <row r="1747" spans="1:5" x14ac:dyDescent="0.2">
      <c r="A1747" s="5">
        <v>1686</v>
      </c>
      <c r="B1747" s="138">
        <f>'Tax Sched 23'!B7</f>
        <v>216790</v>
      </c>
      <c r="C1747" s="2" t="s">
        <v>593</v>
      </c>
      <c r="D1747" s="2" t="str">
        <f t="shared" si="26"/>
        <v>Error?</v>
      </c>
    </row>
    <row r="1748" spans="1:5" x14ac:dyDescent="0.2">
      <c r="A1748" s="5">
        <v>1687</v>
      </c>
      <c r="B1748" s="138">
        <f>'Tax Sched 23'!B8</f>
        <v>193668</v>
      </c>
      <c r="C1748" s="2" t="s">
        <v>593</v>
      </c>
      <c r="D1748" s="2" t="str">
        <f t="shared" si="26"/>
        <v>Error?</v>
      </c>
    </row>
    <row r="1749" spans="1:5" x14ac:dyDescent="0.2">
      <c r="A1749" s="5">
        <v>1688</v>
      </c>
      <c r="B1749" s="138">
        <f>'Tax Sched 23'!B10</f>
        <v>54199</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730856</v>
      </c>
      <c r="C1752" s="2" t="s">
        <v>593</v>
      </c>
      <c r="D1752" s="2" t="str">
        <f t="shared" si="26"/>
        <v>Error?</v>
      </c>
    </row>
    <row r="1753" spans="1:5" x14ac:dyDescent="0.2">
      <c r="A1753" s="5">
        <v>1692</v>
      </c>
      <c r="B1753" s="138">
        <f>'Tax Sched 23'!B12</f>
        <v>54199</v>
      </c>
      <c r="C1753" s="2" t="s">
        <v>593</v>
      </c>
      <c r="D1753" s="2" t="str">
        <f t="shared" si="26"/>
        <v>Error?</v>
      </c>
    </row>
    <row r="1754" spans="1:5" x14ac:dyDescent="0.2">
      <c r="A1754" s="5">
        <v>1693</v>
      </c>
      <c r="B1754" s="138">
        <f>'Tax Sched 23'!B14</f>
        <v>43361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6536474</v>
      </c>
      <c r="C1759" s="2" t="s">
        <v>593</v>
      </c>
      <c r="D1759" s="2" t="str">
        <f t="shared" si="26"/>
        <v>Error?</v>
      </c>
    </row>
    <row r="1760" spans="1:5" x14ac:dyDescent="0.2">
      <c r="A1760" s="5">
        <v>1699</v>
      </c>
      <c r="B1760" s="138">
        <f>'Tax Sched 23'!D4</f>
        <v>2219582</v>
      </c>
      <c r="C1760" s="2" t="s">
        <v>593</v>
      </c>
      <c r="D1760" s="2" t="str">
        <f t="shared" si="26"/>
        <v>Error?</v>
      </c>
    </row>
    <row r="1761" spans="1:5" x14ac:dyDescent="0.2">
      <c r="A1761" s="5">
        <v>1700</v>
      </c>
      <c r="B1761" s="138">
        <f>'Tax Sched 23'!D5</f>
        <v>397778</v>
      </c>
      <c r="C1761" s="2" t="s">
        <v>593</v>
      </c>
      <c r="D1761" s="2" t="str">
        <f t="shared" si="26"/>
        <v>Error?</v>
      </c>
    </row>
    <row r="1762" spans="1:5" s="8" customFormat="1" x14ac:dyDescent="0.2">
      <c r="A1762" s="5">
        <v>1701</v>
      </c>
      <c r="B1762" s="138">
        <f>'Tax Sched 23'!D6</f>
        <v>1110454</v>
      </c>
      <c r="C1762" s="2" t="s">
        <v>593</v>
      </c>
      <c r="D1762" s="2" t="str">
        <f t="shared" si="26"/>
        <v>Error?</v>
      </c>
      <c r="E1762" s="9"/>
    </row>
    <row r="1763" spans="1:5" x14ac:dyDescent="0.2">
      <c r="A1763" s="5">
        <v>1702</v>
      </c>
      <c r="B1763" s="138">
        <f>'Tax Sched 23'!D7</f>
        <v>159114</v>
      </c>
      <c r="C1763" s="2" t="s">
        <v>593</v>
      </c>
      <c r="D1763" s="2" t="str">
        <f t="shared" si="26"/>
        <v>Error?</v>
      </c>
    </row>
    <row r="1764" spans="1:5" x14ac:dyDescent="0.2">
      <c r="A1764" s="5">
        <v>1703</v>
      </c>
      <c r="B1764" s="138">
        <f>'Tax Sched 23'!D8</f>
        <v>143204</v>
      </c>
      <c r="C1764" s="2" t="s">
        <v>593</v>
      </c>
      <c r="D1764" s="2" t="str">
        <f t="shared" si="26"/>
        <v>Error?</v>
      </c>
    </row>
    <row r="1765" spans="1:5" x14ac:dyDescent="0.2">
      <c r="A1765" s="5">
        <v>1704</v>
      </c>
      <c r="B1765" s="138">
        <f>'Tax Sched 23'!D10</f>
        <v>39780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548936</v>
      </c>
      <c r="C1768" s="2" t="s">
        <v>593</v>
      </c>
      <c r="D1768" s="2" t="str">
        <f t="shared" si="26"/>
        <v>Error?</v>
      </c>
    </row>
    <row r="1769" spans="1:5" x14ac:dyDescent="0.2">
      <c r="A1769" s="5">
        <v>1708</v>
      </c>
      <c r="B1769" s="138">
        <f>'Tax Sched 23'!D12</f>
        <v>39780</v>
      </c>
      <c r="C1769" s="2" t="s">
        <v>593</v>
      </c>
      <c r="D1769" s="2" t="str">
        <f t="shared" si="26"/>
        <v>Error?</v>
      </c>
    </row>
    <row r="1770" spans="1:5" x14ac:dyDescent="0.2">
      <c r="A1770" s="5">
        <v>1709</v>
      </c>
      <c r="B1770" s="138">
        <f>'Tax Sched 23'!D14</f>
        <v>31825</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4865482</v>
      </c>
      <c r="C1775" s="2" t="s">
        <v>593</v>
      </c>
      <c r="D1775" s="2" t="str">
        <f t="shared" si="26"/>
        <v>Error?</v>
      </c>
    </row>
    <row r="1776" spans="1:5" x14ac:dyDescent="0.2">
      <c r="A1776" s="5">
        <v>1715</v>
      </c>
      <c r="B1776" s="138">
        <f>'Tax Sched 23'!C4</f>
        <v>804543</v>
      </c>
      <c r="D1776" s="2" t="str">
        <f t="shared" si="26"/>
        <v>Error?</v>
      </c>
    </row>
    <row r="1777" spans="1:4" x14ac:dyDescent="0.2">
      <c r="A1777" s="5">
        <v>1716</v>
      </c>
      <c r="B1777" s="138">
        <f>'Tax Sched 23'!C5</f>
        <v>144184</v>
      </c>
      <c r="D1777" s="2" t="str">
        <f t="shared" si="26"/>
        <v>Error?</v>
      </c>
    </row>
    <row r="1778" spans="1:4" x14ac:dyDescent="0.2">
      <c r="A1778" s="5">
        <v>1717</v>
      </c>
      <c r="B1778" s="138">
        <f>'Tax Sched 23'!C6</f>
        <v>326948</v>
      </c>
      <c r="D1778" s="2" t="str">
        <f t="shared" si="26"/>
        <v>Error?</v>
      </c>
    </row>
    <row r="1779" spans="1:4" x14ac:dyDescent="0.2">
      <c r="A1779" s="5">
        <v>1718</v>
      </c>
      <c r="B1779" s="138">
        <f>'Tax Sched 23'!C7</f>
        <v>57676</v>
      </c>
      <c r="D1779" s="2" t="str">
        <f t="shared" si="26"/>
        <v>Error?</v>
      </c>
    </row>
    <row r="1780" spans="1:4" x14ac:dyDescent="0.2">
      <c r="A1780" s="5">
        <v>1719</v>
      </c>
      <c r="B1780" s="138">
        <f>'Tax Sched 23'!C8</f>
        <v>50464</v>
      </c>
      <c r="D1780" s="2" t="str">
        <f t="shared" si="26"/>
        <v>Error?</v>
      </c>
    </row>
    <row r="1781" spans="1:4" x14ac:dyDescent="0.2">
      <c r="A1781" s="5">
        <v>1720</v>
      </c>
      <c r="B1781" s="138">
        <f>'Tax Sched 23'!C10</f>
        <v>14419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181920</v>
      </c>
      <c r="D1784" s="2" t="str">
        <f t="shared" si="26"/>
        <v>Error?</v>
      </c>
    </row>
    <row r="1785" spans="1:4" x14ac:dyDescent="0.2">
      <c r="A1785" s="5">
        <v>1724</v>
      </c>
      <c r="B1785" s="138">
        <f>'Tax Sched 23'!C12</f>
        <v>14419</v>
      </c>
      <c r="D1785" s="2" t="str">
        <f t="shared" si="26"/>
        <v>Error?</v>
      </c>
    </row>
    <row r="1786" spans="1:4" x14ac:dyDescent="0.2">
      <c r="A1786" s="5">
        <v>1725</v>
      </c>
      <c r="B1786" s="138">
        <f>'Tax Sched 23'!C14</f>
        <v>11536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1670992</v>
      </c>
      <c r="C1791" s="2" t="s">
        <v>593</v>
      </c>
      <c r="D1791" s="2" t="str">
        <f t="shared" ref="D1791:D1854" si="27">IF(ISBLANK(B1791),"OK",IF(A1791-B1791=0,"OK","Error?"))</f>
        <v>Error?</v>
      </c>
    </row>
    <row r="1792" spans="1:4" x14ac:dyDescent="0.2">
      <c r="A1792" s="5">
        <v>1731</v>
      </c>
      <c r="B1792" s="138">
        <f>'Tax Sched 23'!F4</f>
        <v>2627156</v>
      </c>
      <c r="C1792" s="2" t="s">
        <v>593</v>
      </c>
      <c r="D1792" s="2" t="str">
        <f t="shared" si="27"/>
        <v>Error?</v>
      </c>
    </row>
    <row r="1793" spans="1:4" x14ac:dyDescent="0.2">
      <c r="A1793" s="5">
        <v>1732</v>
      </c>
      <c r="B1793" s="138">
        <f>'Tax Sched 23'!F5</f>
        <v>470819</v>
      </c>
      <c r="C1793" s="2" t="s">
        <v>593</v>
      </c>
      <c r="D1793" s="2" t="str">
        <f t="shared" si="27"/>
        <v>Error?</v>
      </c>
    </row>
    <row r="1794" spans="1:4" x14ac:dyDescent="0.2">
      <c r="A1794" s="5">
        <v>1733</v>
      </c>
      <c r="B1794" s="138">
        <f>'Tax Sched 23'!F6</f>
        <v>1067584</v>
      </c>
      <c r="C1794" s="2" t="s">
        <v>593</v>
      </c>
      <c r="D1794" s="2" t="str">
        <f t="shared" si="27"/>
        <v>Error?</v>
      </c>
    </row>
    <row r="1795" spans="1:4" x14ac:dyDescent="0.2">
      <c r="A1795" s="5">
        <v>1734</v>
      </c>
      <c r="B1795" s="138">
        <f>'Tax Sched 23'!F7</f>
        <v>188332</v>
      </c>
      <c r="C1795" s="2" t="s">
        <v>593</v>
      </c>
      <c r="D1795" s="2" t="str">
        <f t="shared" si="27"/>
        <v>Error?</v>
      </c>
    </row>
    <row r="1796" spans="1:4" x14ac:dyDescent="0.2">
      <c r="A1796" s="5">
        <v>1735</v>
      </c>
      <c r="B1796" s="138">
        <f>'Tax Sched 23'!F8</f>
        <v>164786</v>
      </c>
      <c r="C1796" s="2" t="s">
        <v>593</v>
      </c>
      <c r="D1796" s="2" t="str">
        <f t="shared" si="27"/>
        <v>Error?</v>
      </c>
    </row>
    <row r="1797" spans="1:4" x14ac:dyDescent="0.2">
      <c r="A1797" s="5">
        <v>1736</v>
      </c>
      <c r="B1797" s="138">
        <f>'Tax Sched 23'!F10</f>
        <v>47086</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594040</v>
      </c>
      <c r="C1800" s="2" t="s">
        <v>593</v>
      </c>
      <c r="D1800" s="2" t="str">
        <f t="shared" si="27"/>
        <v>Error?</v>
      </c>
    </row>
    <row r="1801" spans="1:4" x14ac:dyDescent="0.2">
      <c r="A1801" s="5">
        <v>1740</v>
      </c>
      <c r="B1801" s="138">
        <f>'Tax Sched 23'!F12</f>
        <v>47086</v>
      </c>
      <c r="C1801" s="2" t="s">
        <v>593</v>
      </c>
      <c r="D1801" s="2" t="str">
        <f t="shared" si="27"/>
        <v>Error?</v>
      </c>
    </row>
    <row r="1802" spans="1:4" x14ac:dyDescent="0.2">
      <c r="A1802" s="5">
        <v>1741</v>
      </c>
      <c r="B1802" s="138">
        <f>'Tax Sched 23'!F14</f>
        <v>37673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5456434</v>
      </c>
      <c r="C1807" s="2" t="s">
        <v>593</v>
      </c>
      <c r="D1807" s="2" t="str">
        <f t="shared" si="27"/>
        <v>Error?</v>
      </c>
    </row>
    <row r="1808" spans="1:4" x14ac:dyDescent="0.2">
      <c r="A1808" s="5">
        <v>1747</v>
      </c>
      <c r="B1808" s="138">
        <f>'Tax Sched 23'!E4</f>
        <v>3431699</v>
      </c>
      <c r="D1808" s="2" t="str">
        <f t="shared" si="27"/>
        <v>Error?</v>
      </c>
    </row>
    <row r="1809" spans="1:4" x14ac:dyDescent="0.2">
      <c r="A1809" s="5">
        <v>1748</v>
      </c>
      <c r="B1809" s="138">
        <f>'Tax Sched 23'!E5</f>
        <v>615003</v>
      </c>
      <c r="D1809" s="2" t="str">
        <f t="shared" si="27"/>
        <v>Error?</v>
      </c>
    </row>
    <row r="1810" spans="1:4" x14ac:dyDescent="0.2">
      <c r="A1810" s="5">
        <v>1749</v>
      </c>
      <c r="B1810" s="138">
        <f>'Tax Sched 23'!E6</f>
        <v>1394532</v>
      </c>
      <c r="D1810" s="2" t="str">
        <f t="shared" si="27"/>
        <v>Error?</v>
      </c>
    </row>
    <row r="1811" spans="1:4" x14ac:dyDescent="0.2">
      <c r="A1811" s="5">
        <v>1750</v>
      </c>
      <c r="B1811" s="138">
        <f>'Tax Sched 23'!E7</f>
        <v>246008</v>
      </c>
      <c r="D1811" s="2" t="str">
        <f t="shared" si="27"/>
        <v>Error?</v>
      </c>
    </row>
    <row r="1812" spans="1:4" x14ac:dyDescent="0.2">
      <c r="A1812" s="5">
        <v>1751</v>
      </c>
      <c r="B1812" s="138">
        <f>'Tax Sched 23'!E8</f>
        <v>215250</v>
      </c>
      <c r="D1812" s="2" t="str">
        <f t="shared" si="27"/>
        <v>Error?</v>
      </c>
    </row>
    <row r="1813" spans="1:4" x14ac:dyDescent="0.2">
      <c r="A1813" s="5">
        <v>1752</v>
      </c>
      <c r="B1813" s="138">
        <f>'Tax Sched 23'!E10</f>
        <v>61505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775960</v>
      </c>
      <c r="D1816" s="2" t="str">
        <f t="shared" si="27"/>
        <v>Error?</v>
      </c>
    </row>
    <row r="1817" spans="1:4" x14ac:dyDescent="0.2">
      <c r="A1817" s="5">
        <v>1756</v>
      </c>
      <c r="B1817" s="138">
        <f>'Tax Sched 23'!E12</f>
        <v>61505</v>
      </c>
      <c r="D1817" s="2" t="str">
        <f t="shared" si="27"/>
        <v>Error?</v>
      </c>
    </row>
    <row r="1818" spans="1:4" x14ac:dyDescent="0.2">
      <c r="A1818" s="5">
        <v>1757</v>
      </c>
      <c r="B1818" s="138">
        <f>'Tax Sched 23'!E14</f>
        <v>49209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7127426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11654237</v>
      </c>
      <c r="C1939" s="2" t="s">
        <v>593</v>
      </c>
      <c r="D1939" s="2" t="str">
        <f t="shared" si="29"/>
        <v>Error?</v>
      </c>
    </row>
    <row r="1940" spans="1:5" x14ac:dyDescent="0.2">
      <c r="A1940" s="5">
        <v>1879</v>
      </c>
      <c r="B1940" s="138">
        <f>'Short-Term Long-Term Debt 24'!F49</f>
        <v>4895000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43361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43361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43361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152553</v>
      </c>
      <c r="D2008" s="2" t="str">
        <f t="shared" si="30"/>
        <v>Error?</v>
      </c>
    </row>
    <row r="2009" spans="1:4" x14ac:dyDescent="0.2">
      <c r="A2009" s="5">
        <v>1948</v>
      </c>
      <c r="B2009" s="138">
        <f>'Cap Outlay Deprec 26'!C8</f>
        <v>16731594</v>
      </c>
      <c r="D2009" s="2" t="str">
        <f t="shared" si="30"/>
        <v>Error?</v>
      </c>
    </row>
    <row r="2010" spans="1:4" x14ac:dyDescent="0.2">
      <c r="A2010" s="5">
        <v>1949</v>
      </c>
      <c r="B2010" s="138">
        <f>'Cap Outlay Deprec 26'!C10</f>
        <v>131806</v>
      </c>
      <c r="D2010" s="2" t="str">
        <f t="shared" si="30"/>
        <v>Error?</v>
      </c>
    </row>
    <row r="2011" spans="1:4" x14ac:dyDescent="0.2">
      <c r="A2011" s="5">
        <v>1950</v>
      </c>
      <c r="B2011" s="138">
        <f>'Cap Outlay Deprec 26'!C12</f>
        <v>1222960</v>
      </c>
      <c r="D2011" s="2" t="str">
        <f t="shared" si="30"/>
        <v>Error?</v>
      </c>
    </row>
    <row r="2012" spans="1:4" x14ac:dyDescent="0.2">
      <c r="A2012" s="5">
        <v>1951</v>
      </c>
      <c r="B2012" s="138">
        <f>'Cap Outlay Deprec 26'!C13</f>
        <v>66053</v>
      </c>
      <c r="D2012" s="2" t="str">
        <f t="shared" si="30"/>
        <v>Error?</v>
      </c>
    </row>
    <row r="2013" spans="1:4" x14ac:dyDescent="0.2">
      <c r="A2013" s="5">
        <v>1952</v>
      </c>
      <c r="B2013" s="138">
        <f>'Cap Outlay Deprec 26'!C16</f>
        <v>18304966</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105625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129796</v>
      </c>
      <c r="D2017" s="2" t="str">
        <f t="shared" si="30"/>
        <v>Error?</v>
      </c>
    </row>
    <row r="2018" spans="1:4" x14ac:dyDescent="0.2">
      <c r="A2018" s="5">
        <v>1957</v>
      </c>
      <c r="B2018" s="138">
        <f>'Cap Outlay Deprec 26'!D13</f>
        <v>35530</v>
      </c>
      <c r="D2018" s="2" t="str">
        <f t="shared" si="30"/>
        <v>Error?</v>
      </c>
    </row>
    <row r="2019" spans="1:4" x14ac:dyDescent="0.2">
      <c r="A2019" s="5">
        <v>1958</v>
      </c>
      <c r="B2019" s="138">
        <f>'Cap Outlay Deprec 26'!D16</f>
        <v>270951</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152553</v>
      </c>
      <c r="C2026" s="2" t="s">
        <v>593</v>
      </c>
      <c r="D2026" s="2" t="str">
        <f t="shared" si="30"/>
        <v>Error?</v>
      </c>
    </row>
    <row r="2027" spans="1:4" x14ac:dyDescent="0.2">
      <c r="A2027" s="5">
        <v>1966</v>
      </c>
      <c r="B2027" s="138">
        <f>'Cap Outlay Deprec 26'!F8</f>
        <v>16837219</v>
      </c>
      <c r="C2027" s="2" t="s">
        <v>593</v>
      </c>
      <c r="D2027" s="2" t="str">
        <f t="shared" si="30"/>
        <v>Error?</v>
      </c>
    </row>
    <row r="2028" spans="1:4" x14ac:dyDescent="0.2">
      <c r="A2028" s="5">
        <v>1967</v>
      </c>
      <c r="B2028" s="138">
        <f>'Cap Outlay Deprec 26'!F10</f>
        <v>131806</v>
      </c>
      <c r="C2028" s="2" t="s">
        <v>593</v>
      </c>
      <c r="D2028" s="2" t="str">
        <f t="shared" si="30"/>
        <v>Error?</v>
      </c>
    </row>
    <row r="2029" spans="1:4" x14ac:dyDescent="0.2">
      <c r="A2029" s="5">
        <v>1968</v>
      </c>
      <c r="B2029" s="138">
        <f>'Cap Outlay Deprec 26'!F12</f>
        <v>1352756</v>
      </c>
      <c r="C2029" s="2" t="s">
        <v>593</v>
      </c>
      <c r="D2029" s="2" t="str">
        <f t="shared" si="30"/>
        <v>Error?</v>
      </c>
    </row>
    <row r="2030" spans="1:4" x14ac:dyDescent="0.2">
      <c r="A2030" s="5">
        <v>1969</v>
      </c>
      <c r="B2030" s="138">
        <f>'Cap Outlay Deprec 26'!F13</f>
        <v>101583</v>
      </c>
      <c r="C2030" s="2" t="s">
        <v>593</v>
      </c>
      <c r="D2030" s="2" t="str">
        <f t="shared" si="30"/>
        <v>Error?</v>
      </c>
    </row>
    <row r="2031" spans="1:4" x14ac:dyDescent="0.2">
      <c r="A2031" s="5">
        <v>1970</v>
      </c>
      <c r="B2031" s="138">
        <f>'Cap Outlay Deprec 26'!F16</f>
        <v>18575917</v>
      </c>
      <c r="C2031" s="2" t="s">
        <v>593</v>
      </c>
      <c r="D2031" s="2" t="str">
        <f t="shared" si="30"/>
        <v>Error?</v>
      </c>
    </row>
    <row r="2032" spans="1:4" x14ac:dyDescent="0.2">
      <c r="A2032" s="10">
        <v>1971</v>
      </c>
      <c r="D2032" s="2" t="str">
        <f t="shared" si="30"/>
        <v>OK</v>
      </c>
    </row>
    <row r="2033" spans="1:4" x14ac:dyDescent="0.2">
      <c r="A2033" s="5">
        <v>1972</v>
      </c>
      <c r="B2033" s="138">
        <f>'Cap Outlay Deprec 26'!H8</f>
        <v>7493191</v>
      </c>
      <c r="D2033" s="2" t="str">
        <f t="shared" si="30"/>
        <v>Error?</v>
      </c>
    </row>
    <row r="2034" spans="1:4" x14ac:dyDescent="0.2">
      <c r="A2034" s="5">
        <v>1973</v>
      </c>
      <c r="B2034" s="138">
        <f>'Cap Outlay Deprec 26'!H10</f>
        <v>63628</v>
      </c>
      <c r="D2034" s="2" t="str">
        <f t="shared" si="30"/>
        <v>Error?</v>
      </c>
    </row>
    <row r="2035" spans="1:4" x14ac:dyDescent="0.2">
      <c r="A2035" s="5">
        <v>1974</v>
      </c>
      <c r="B2035" s="138">
        <f>'Cap Outlay Deprec 26'!H12</f>
        <v>494114</v>
      </c>
      <c r="D2035" s="2" t="str">
        <f t="shared" si="30"/>
        <v>Error?</v>
      </c>
    </row>
    <row r="2036" spans="1:4" x14ac:dyDescent="0.2">
      <c r="A2036" s="5">
        <v>1975</v>
      </c>
      <c r="B2036" s="138">
        <f>'Cap Outlay Deprec 26'!H13</f>
        <v>36158</v>
      </c>
      <c r="D2036" s="2" t="str">
        <f t="shared" si="30"/>
        <v>Error?</v>
      </c>
    </row>
    <row r="2037" spans="1:4" x14ac:dyDescent="0.2">
      <c r="A2037" s="5">
        <v>1976</v>
      </c>
      <c r="B2037" s="138">
        <f>'Cap Outlay Deprec 26'!H16</f>
        <v>8087091</v>
      </c>
      <c r="C2037" s="2" t="s">
        <v>593</v>
      </c>
      <c r="D2037" s="2" t="str">
        <f t="shared" si="30"/>
        <v>Error?</v>
      </c>
    </row>
    <row r="2038" spans="1:4" x14ac:dyDescent="0.2">
      <c r="A2038" s="10">
        <v>1977</v>
      </c>
      <c r="D2038" s="2" t="str">
        <f t="shared" si="30"/>
        <v>OK</v>
      </c>
    </row>
    <row r="2039" spans="1:4" x14ac:dyDescent="0.2">
      <c r="A2039" s="5">
        <v>1978</v>
      </c>
      <c r="B2039" s="138">
        <f>'Cap Outlay Deprec 26'!I8</f>
        <v>282989</v>
      </c>
      <c r="D2039" s="2" t="str">
        <f t="shared" si="30"/>
        <v>Error?</v>
      </c>
    </row>
    <row r="2040" spans="1:4" x14ac:dyDescent="0.2">
      <c r="A2040" s="5">
        <v>1979</v>
      </c>
      <c r="B2040" s="138">
        <f>'Cap Outlay Deprec 26'!I10</f>
        <v>6591</v>
      </c>
      <c r="D2040" s="2" t="str">
        <f t="shared" si="30"/>
        <v>Error?</v>
      </c>
    </row>
    <row r="2041" spans="1:4" x14ac:dyDescent="0.2">
      <c r="A2041" s="5">
        <v>1980</v>
      </c>
      <c r="B2041" s="138">
        <f>'Cap Outlay Deprec 26'!I12</f>
        <v>118226</v>
      </c>
      <c r="D2041" s="2" t="str">
        <f t="shared" si="30"/>
        <v>Error?</v>
      </c>
    </row>
    <row r="2042" spans="1:4" x14ac:dyDescent="0.2">
      <c r="A2042" s="5">
        <v>1981</v>
      </c>
      <c r="B2042" s="138">
        <f>'Cap Outlay Deprec 26'!I13</f>
        <v>13038</v>
      </c>
      <c r="D2042" s="2" t="str">
        <f t="shared" si="30"/>
        <v>Error?</v>
      </c>
    </row>
    <row r="2043" spans="1:4" x14ac:dyDescent="0.2">
      <c r="A2043" s="5">
        <v>1982</v>
      </c>
      <c r="B2043" s="138">
        <f>'Cap Outlay Deprec 26'!I16</f>
        <v>420844</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7776180</v>
      </c>
      <c r="C2051" s="2" t="s">
        <v>593</v>
      </c>
      <c r="D2051" s="2" t="str">
        <f t="shared" si="31"/>
        <v>Error?</v>
      </c>
    </row>
    <row r="2052" spans="1:4" x14ac:dyDescent="0.2">
      <c r="A2052" s="5">
        <v>1991</v>
      </c>
      <c r="B2052" s="138">
        <f>'Cap Outlay Deprec 26'!K10</f>
        <v>70219</v>
      </c>
      <c r="C2052" s="2" t="s">
        <v>593</v>
      </c>
      <c r="D2052" s="2" t="str">
        <f t="shared" si="31"/>
        <v>Error?</v>
      </c>
    </row>
    <row r="2053" spans="1:4" x14ac:dyDescent="0.2">
      <c r="A2053" s="5">
        <v>1992</v>
      </c>
      <c r="B2053" s="138">
        <f>'Cap Outlay Deprec 26'!K12</f>
        <v>612340</v>
      </c>
      <c r="C2053" s="2" t="s">
        <v>593</v>
      </c>
      <c r="D2053" s="2" t="str">
        <f t="shared" si="31"/>
        <v>Error?</v>
      </c>
    </row>
    <row r="2054" spans="1:4" x14ac:dyDescent="0.2">
      <c r="A2054" s="5">
        <v>1993</v>
      </c>
      <c r="B2054" s="138">
        <f>'Cap Outlay Deprec 26'!K13</f>
        <v>49196</v>
      </c>
      <c r="C2054" s="2" t="s">
        <v>593</v>
      </c>
      <c r="D2054" s="2" t="str">
        <f t="shared" si="31"/>
        <v>Error?</v>
      </c>
    </row>
    <row r="2055" spans="1:4" x14ac:dyDescent="0.2">
      <c r="A2055" s="5">
        <v>1994</v>
      </c>
      <c r="B2055" s="138">
        <f>'Cap Outlay Deprec 26'!K16</f>
        <v>8507935</v>
      </c>
      <c r="C2055" s="2" t="s">
        <v>593</v>
      </c>
      <c r="D2055" s="2" t="str">
        <f t="shared" si="31"/>
        <v>Error?</v>
      </c>
    </row>
    <row r="2056" spans="1:4" x14ac:dyDescent="0.2">
      <c r="A2056" s="5">
        <v>1995</v>
      </c>
      <c r="B2056" s="138">
        <f>'Cap Outlay Deprec 26'!L5</f>
        <v>152553</v>
      </c>
      <c r="C2056" s="2" t="s">
        <v>593</v>
      </c>
      <c r="D2056" s="2" t="str">
        <f t="shared" si="31"/>
        <v>Error?</v>
      </c>
    </row>
    <row r="2057" spans="1:4" x14ac:dyDescent="0.2">
      <c r="A2057" s="5">
        <v>1996</v>
      </c>
      <c r="B2057" s="138">
        <f>'Cap Outlay Deprec 26'!L8</f>
        <v>9061039</v>
      </c>
      <c r="C2057" s="2" t="s">
        <v>593</v>
      </c>
      <c r="D2057" s="2" t="str">
        <f t="shared" si="31"/>
        <v>Error?</v>
      </c>
    </row>
    <row r="2058" spans="1:4" x14ac:dyDescent="0.2">
      <c r="A2058" s="5">
        <v>1997</v>
      </c>
      <c r="B2058" s="138">
        <f>'Cap Outlay Deprec 26'!L10</f>
        <v>61587</v>
      </c>
      <c r="C2058" s="2" t="s">
        <v>593</v>
      </c>
      <c r="D2058" s="2" t="str">
        <f t="shared" si="31"/>
        <v>Error?</v>
      </c>
    </row>
    <row r="2059" spans="1:4" x14ac:dyDescent="0.2">
      <c r="A2059" s="5">
        <v>1998</v>
      </c>
      <c r="B2059" s="138">
        <f>'Cap Outlay Deprec 26'!L12</f>
        <v>740416</v>
      </c>
      <c r="C2059" s="2" t="s">
        <v>593</v>
      </c>
      <c r="D2059" s="2" t="str">
        <f t="shared" si="31"/>
        <v>Error?</v>
      </c>
    </row>
    <row r="2060" spans="1:4" x14ac:dyDescent="0.2">
      <c r="A2060" s="5">
        <v>1999</v>
      </c>
      <c r="B2060" s="138">
        <f>'Cap Outlay Deprec 26'!L13</f>
        <v>52387</v>
      </c>
      <c r="C2060" s="2" t="s">
        <v>593</v>
      </c>
      <c r="D2060" s="2" t="str">
        <f t="shared" si="31"/>
        <v>Error?</v>
      </c>
    </row>
    <row r="2061" spans="1:4" x14ac:dyDescent="0.2">
      <c r="A2061" s="5">
        <v>2000</v>
      </c>
      <c r="B2061" s="138">
        <f>'Cap Outlay Deprec 26'!L16</f>
        <v>10067982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738077</v>
      </c>
      <c r="C2088" s="2" t="s">
        <v>593</v>
      </c>
      <c r="D2088" s="2" t="str">
        <f t="shared" si="31"/>
        <v>Error?</v>
      </c>
    </row>
    <row r="2089" spans="1:4" x14ac:dyDescent="0.2">
      <c r="A2089" s="5">
        <v>2028</v>
      </c>
      <c r="B2089" s="138">
        <f>'Expenditures 15-22'!K92</f>
        <v>110405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562067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83299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3111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3867344</v>
      </c>
      <c r="C2551" s="2" t="s">
        <v>593</v>
      </c>
      <c r="D2551" s="2" t="str">
        <f t="shared" si="38"/>
        <v>Error?</v>
      </c>
    </row>
    <row r="2552" spans="1:4" x14ac:dyDescent="0.2">
      <c r="A2552" s="10">
        <v>2491</v>
      </c>
      <c r="D2552" s="2" t="str">
        <f t="shared" si="38"/>
        <v>OK</v>
      </c>
    </row>
    <row r="2553" spans="1:4" x14ac:dyDescent="0.2">
      <c r="A2553" s="5">
        <v>2492</v>
      </c>
      <c r="B2553" s="138">
        <f>'Acct Summary 7-8'!C6</f>
        <v>4535772</v>
      </c>
      <c r="C2553" s="2" t="s">
        <v>593</v>
      </c>
      <c r="D2553" s="2" t="str">
        <f t="shared" si="38"/>
        <v>Error?</v>
      </c>
    </row>
    <row r="2554" spans="1:4" x14ac:dyDescent="0.2">
      <c r="A2554" s="5">
        <v>2493</v>
      </c>
      <c r="B2554" s="138">
        <f>'Acct Summary 7-8'!C7</f>
        <v>1445024</v>
      </c>
      <c r="C2554" s="2" t="s">
        <v>593</v>
      </c>
      <c r="D2554" s="2" t="str">
        <f t="shared" si="38"/>
        <v>Error?</v>
      </c>
    </row>
    <row r="2555" spans="1:4" x14ac:dyDescent="0.2">
      <c r="A2555" s="5">
        <v>2494</v>
      </c>
      <c r="B2555" s="138">
        <f>'Acct Summary 7-8'!C8</f>
        <v>10481006</v>
      </c>
      <c r="C2555" s="2" t="s">
        <v>593</v>
      </c>
      <c r="D2555" s="2" t="str">
        <f t="shared" si="38"/>
        <v>Error?</v>
      </c>
    </row>
    <row r="2556" spans="1:4" x14ac:dyDescent="0.2">
      <c r="A2556" s="5">
        <v>2495</v>
      </c>
      <c r="B2556" s="138">
        <f>'Acct Summary 7-8'!C12</f>
        <v>5825653</v>
      </c>
      <c r="C2556" s="2" t="s">
        <v>593</v>
      </c>
      <c r="D2556" s="2" t="str">
        <f t="shared" si="38"/>
        <v>Error?</v>
      </c>
    </row>
    <row r="2557" spans="1:4" x14ac:dyDescent="0.2">
      <c r="A2557" s="5">
        <v>2496</v>
      </c>
      <c r="B2557" s="138">
        <f>'Acct Summary 7-8'!C13</f>
        <v>2872600</v>
      </c>
      <c r="C2557" s="2" t="s">
        <v>593</v>
      </c>
      <c r="D2557" s="2" t="str">
        <f t="shared" si="38"/>
        <v>Error?</v>
      </c>
    </row>
    <row r="2558" spans="1:4" x14ac:dyDescent="0.2">
      <c r="A2558" s="5">
        <v>2497</v>
      </c>
      <c r="B2558" s="138">
        <f>'Acct Summary 7-8'!C14</f>
        <v>23969</v>
      </c>
      <c r="C2558" s="2" t="s">
        <v>593</v>
      </c>
      <c r="D2558" s="2" t="str">
        <f t="shared" si="38"/>
        <v>Error?</v>
      </c>
    </row>
    <row r="2559" spans="1:4" x14ac:dyDescent="0.2">
      <c r="A2559" s="5">
        <v>2498</v>
      </c>
      <c r="B2559" s="138">
        <f>'Acct Summary 7-8'!C15</f>
        <v>1341764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10063986</v>
      </c>
      <c r="C2561" s="2" t="s">
        <v>593</v>
      </c>
      <c r="D2561" s="2" t="str">
        <f t="shared" si="39"/>
        <v>Error?</v>
      </c>
    </row>
    <row r="2562" spans="1:4" x14ac:dyDescent="0.2">
      <c r="A2562" s="5">
        <v>2501</v>
      </c>
      <c r="B2562" s="138">
        <f>'Acct Summary 7-8'!C20</f>
        <v>417020</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578497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578497</v>
      </c>
      <c r="C2568" s="2" t="s">
        <v>593</v>
      </c>
      <c r="D2568" s="2" t="str">
        <f t="shared" si="39"/>
        <v>Error?</v>
      </c>
    </row>
    <row r="2569" spans="1:4" x14ac:dyDescent="0.2">
      <c r="A2569" s="5">
        <v>2508</v>
      </c>
      <c r="B2569" s="138">
        <f>'Acct Summary 7-8'!D13</f>
        <v>518295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518295</v>
      </c>
      <c r="C2573" s="2" t="s">
        <v>593</v>
      </c>
      <c r="D2573" s="2" t="str">
        <f t="shared" si="39"/>
        <v>Error?</v>
      </c>
    </row>
    <row r="2574" spans="1:4" x14ac:dyDescent="0.2">
      <c r="A2574" s="5">
        <v>2513</v>
      </c>
      <c r="B2574" s="138">
        <f>'Acct Summary 7-8'!D20</f>
        <v>60202</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225094</v>
      </c>
      <c r="C2591" s="2" t="s">
        <v>593</v>
      </c>
      <c r="D2591" s="2" t="str">
        <f t="shared" si="39"/>
        <v>Error?</v>
      </c>
    </row>
    <row r="2592" spans="1:4" x14ac:dyDescent="0.2">
      <c r="A2592" s="10">
        <v>2531</v>
      </c>
      <c r="D2592" s="2" t="str">
        <f t="shared" si="39"/>
        <v>OK</v>
      </c>
    </row>
    <row r="2593" spans="1:4" x14ac:dyDescent="0.2">
      <c r="A2593" s="5">
        <v>2532</v>
      </c>
      <c r="B2593" s="138">
        <f>'Acct Summary 7-8'!F6</f>
        <v>919717</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1144811</v>
      </c>
      <c r="C2595" s="2" t="s">
        <v>593</v>
      </c>
      <c r="D2595" s="2" t="str">
        <f t="shared" si="39"/>
        <v>Error?</v>
      </c>
    </row>
    <row r="2596" spans="1:4" x14ac:dyDescent="0.2">
      <c r="A2596" s="5">
        <v>2535</v>
      </c>
      <c r="B2596" s="138">
        <f>'Acct Summary 7-8'!F13</f>
        <v>1002856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100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1002956</v>
      </c>
      <c r="C2600" s="2" t="s">
        <v>593</v>
      </c>
      <c r="D2600" s="2" t="str">
        <f t="shared" si="39"/>
        <v>Error?</v>
      </c>
    </row>
    <row r="2601" spans="1:4" x14ac:dyDescent="0.2">
      <c r="A2601" s="5">
        <v>2540</v>
      </c>
      <c r="B2601" s="138">
        <f>'Acct Summary 7-8'!F20</f>
        <v>141855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414232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414232</v>
      </c>
      <c r="C2606" s="2" t="s">
        <v>593</v>
      </c>
      <c r="D2606" s="2" t="str">
        <f t="shared" si="39"/>
        <v>Error?</v>
      </c>
    </row>
    <row r="2607" spans="1:4" x14ac:dyDescent="0.2">
      <c r="A2607" s="5">
        <v>2546</v>
      </c>
      <c r="B2607" s="138">
        <f>'Acct Summary 7-8'!G12</f>
        <v>154199</v>
      </c>
      <c r="C2607" s="2" t="s">
        <v>593</v>
      </c>
      <c r="D2607" s="2" t="str">
        <f t="shared" si="39"/>
        <v>Error?</v>
      </c>
    </row>
    <row r="2608" spans="1:4" x14ac:dyDescent="0.2">
      <c r="A2608" s="5">
        <v>2547</v>
      </c>
      <c r="B2608" s="138">
        <f>'Acct Summary 7-8'!G13</f>
        <v>383997</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538196</v>
      </c>
      <c r="C2612" s="2" t="s">
        <v>593</v>
      </c>
      <c r="D2612" s="2" t="str">
        <f t="shared" si="39"/>
        <v>Error?</v>
      </c>
    </row>
    <row r="2613" spans="1:4" x14ac:dyDescent="0.2">
      <c r="A2613" s="5">
        <v>2552</v>
      </c>
      <c r="B2613" s="138">
        <f>'Acct Summary 7-8'!G20</f>
        <v>-123964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1440962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1440962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6856211</v>
      </c>
      <c r="C2634" s="2" t="s">
        <v>593</v>
      </c>
      <c r="D2634" s="2" t="str">
        <f t="shared" si="40"/>
        <v>Error?</v>
      </c>
    </row>
    <row r="2635" spans="1:4" x14ac:dyDescent="0.2">
      <c r="A2635" s="5">
        <v>2574</v>
      </c>
      <c r="B2635" s="138">
        <f>'Acct Summary 7-8'!E17</f>
        <v>6856211</v>
      </c>
      <c r="C2635" s="2" t="s">
        <v>593</v>
      </c>
      <c r="D2635" s="2" t="str">
        <f t="shared" si="40"/>
        <v>Error?</v>
      </c>
    </row>
    <row r="2636" spans="1:4" x14ac:dyDescent="0.2">
      <c r="A2636" s="5">
        <v>2575</v>
      </c>
      <c r="B2636" s="138">
        <f>'Acct Summary 7-8'!E20</f>
        <v>-5415249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595</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595</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595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3560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738077</v>
      </c>
      <c r="C2789" s="2" t="s">
        <v>593</v>
      </c>
      <c r="D2789" s="2" t="str">
        <f t="shared" si="42"/>
        <v>Error?</v>
      </c>
    </row>
    <row r="2790" spans="1:4" x14ac:dyDescent="0.2">
      <c r="A2790" s="5">
        <v>2729</v>
      </c>
      <c r="B2790" s="138">
        <f>'Expenditures 15-22'!E102</f>
        <v>738077</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3560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100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100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11918</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1500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1958383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269019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1958383</v>
      </c>
      <c r="D2912" s="2" t="str">
        <f t="shared" si="44"/>
        <v>Error?</v>
      </c>
    </row>
    <row r="2913" spans="1:4" x14ac:dyDescent="0.2">
      <c r="A2913" s="5">
        <v>2852</v>
      </c>
      <c r="B2913" s="138">
        <f>'Assets-Liab 5-6'!I41</f>
        <v>1958383</v>
      </c>
      <c r="C2913" s="2" t="s">
        <v>593</v>
      </c>
      <c r="D2913" s="2" t="str">
        <f t="shared" si="44"/>
        <v>Error?</v>
      </c>
    </row>
    <row r="2914" spans="1:4" x14ac:dyDescent="0.2">
      <c r="A2914" s="5">
        <v>2853</v>
      </c>
      <c r="B2914" s="138">
        <f>'Assets-Liab 5-6'!L33</f>
        <v>269019</v>
      </c>
      <c r="D2914" s="2" t="str">
        <f t="shared" si="44"/>
        <v>Error?</v>
      </c>
    </row>
    <row r="2915" spans="1:4" x14ac:dyDescent="0.2">
      <c r="A2915" s="10">
        <v>2854</v>
      </c>
      <c r="D2915" s="2" t="str">
        <f t="shared" si="44"/>
        <v>OK</v>
      </c>
    </row>
    <row r="2916" spans="1:4" x14ac:dyDescent="0.2">
      <c r="A2916" s="5">
        <v>2855</v>
      </c>
      <c r="B2916" s="138">
        <f>'Assets-Liab 5-6'!L34</f>
        <v>269019</v>
      </c>
      <c r="C2916" s="2" t="s">
        <v>593</v>
      </c>
      <c r="D2916" s="2" t="str">
        <f t="shared" si="44"/>
        <v>Error?</v>
      </c>
    </row>
    <row r="2917" spans="1:4" x14ac:dyDescent="0.2">
      <c r="A2917" s="5">
        <v>2856</v>
      </c>
      <c r="B2917" s="138">
        <f>'Assets-Liab 5-6'!L41</f>
        <v>269019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159212</v>
      </c>
      <c r="D2949" s="2" t="str">
        <f t="shared" si="45"/>
        <v>Error?</v>
      </c>
    </row>
    <row r="2950" spans="1:4" x14ac:dyDescent="0.2">
      <c r="A2950" s="5">
        <v>2889</v>
      </c>
      <c r="B2950" s="138">
        <f>'Expenditures 15-22'!E79</f>
        <v>554865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24000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159212</v>
      </c>
      <c r="C2973" s="2" t="s">
        <v>593</v>
      </c>
      <c r="D2973" s="2" t="str">
        <f t="shared" si="45"/>
        <v>Error?</v>
      </c>
    </row>
    <row r="2974" spans="1:4" x14ac:dyDescent="0.2">
      <c r="A2974" s="5">
        <v>2913</v>
      </c>
      <c r="B2974" s="138">
        <f>'Expenditures 15-22'!K79</f>
        <v>554865</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24000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100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100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207498</v>
      </c>
      <c r="D3055" s="2" t="str">
        <f t="shared" si="46"/>
        <v>Error?</v>
      </c>
    </row>
    <row r="3056" spans="1:4" x14ac:dyDescent="0.2">
      <c r="A3056" s="5">
        <v>2995</v>
      </c>
      <c r="B3056" s="138">
        <f>'Expenditures 15-22'!D10</f>
        <v>58185</v>
      </c>
      <c r="D3056" s="2" t="str">
        <f t="shared" si="46"/>
        <v>Error?</v>
      </c>
    </row>
    <row r="3057" spans="1:4" x14ac:dyDescent="0.2">
      <c r="A3057" s="5">
        <v>2996</v>
      </c>
      <c r="B3057" s="138">
        <f>'Expenditures 15-22'!E10</f>
        <v>13633</v>
      </c>
      <c r="D3057" s="2" t="str">
        <f t="shared" si="46"/>
        <v>Error?</v>
      </c>
    </row>
    <row r="3058" spans="1:4" x14ac:dyDescent="0.2">
      <c r="A3058" s="5">
        <v>2997</v>
      </c>
      <c r="B3058" s="138">
        <f>'Expenditures 15-22'!F10</f>
        <v>23964</v>
      </c>
      <c r="D3058" s="2" t="str">
        <f t="shared" si="46"/>
        <v>Error?</v>
      </c>
    </row>
    <row r="3059" spans="1:4" x14ac:dyDescent="0.2">
      <c r="A3059" s="5">
        <v>2998</v>
      </c>
      <c r="B3059" s="138">
        <f>'Expenditures 15-22'!G10</f>
        <v>45030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348310</v>
      </c>
      <c r="C3062" s="2" t="s">
        <v>593</v>
      </c>
      <c r="D3062" s="2" t="str">
        <f t="shared" si="46"/>
        <v>Error?</v>
      </c>
    </row>
    <row r="3063" spans="1:4" x14ac:dyDescent="0.2">
      <c r="A3063" s="10">
        <v>3002</v>
      </c>
      <c r="D3063" s="2" t="str">
        <f t="shared" si="46"/>
        <v>OK</v>
      </c>
    </row>
    <row r="3064" spans="1:4" x14ac:dyDescent="0.2">
      <c r="A3064" s="5">
        <v>3003</v>
      </c>
      <c r="B3064" s="138">
        <f>'Expenditures 15-22'!D219</f>
        <v>2936</v>
      </c>
      <c r="D3064" s="2" t="str">
        <f t="shared" si="46"/>
        <v>Error?</v>
      </c>
    </row>
    <row r="3065" spans="1:4" x14ac:dyDescent="0.2">
      <c r="A3065" s="5">
        <v>3004</v>
      </c>
      <c r="B3065" s="138">
        <f>'Expenditures 15-22'!K219</f>
        <v>2936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4895000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61753</v>
      </c>
      <c r="C3225" s="2" t="s">
        <v>593</v>
      </c>
      <c r="D3225" s="2" t="str">
        <f t="shared" si="49"/>
        <v>Error?</v>
      </c>
    </row>
    <row r="3226" spans="1:4" x14ac:dyDescent="0.2">
      <c r="A3226" s="5">
        <v>3165</v>
      </c>
      <c r="B3226" s="138">
        <f>'Acct Summary 7-8'!I8</f>
        <v>61753</v>
      </c>
      <c r="C3226" s="2" t="s">
        <v>593</v>
      </c>
      <c r="D3226" s="2" t="str">
        <f t="shared" si="49"/>
        <v>Error?</v>
      </c>
    </row>
    <row r="3227" spans="1:4" x14ac:dyDescent="0.2">
      <c r="A3227" s="5">
        <v>3166</v>
      </c>
      <c r="B3227" s="138">
        <f>'Acct Summary 7-8'!I20</f>
        <v>61753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1003560</v>
      </c>
      <c r="C3229" s="2" t="s">
        <v>593</v>
      </c>
      <c r="D3229" s="2" t="str">
        <f t="shared" si="49"/>
        <v>Error?</v>
      </c>
    </row>
    <row r="3230" spans="1:4" x14ac:dyDescent="0.2">
      <c r="A3230" s="5">
        <v>3169</v>
      </c>
      <c r="B3230" s="138">
        <f>'Acct Summary 7-8'!C75</f>
        <v>25790</v>
      </c>
      <c r="D3230" s="2" t="str">
        <f t="shared" si="49"/>
        <v>Error?</v>
      </c>
    </row>
    <row r="3231" spans="1:4" x14ac:dyDescent="0.2">
      <c r="A3231" s="5">
        <v>3170</v>
      </c>
      <c r="B3231" s="138">
        <f>'Acct Summary 7-8'!C76</f>
        <v>59018</v>
      </c>
      <c r="C3231" s="2" t="s">
        <v>593</v>
      </c>
      <c r="D3231" s="2" t="str">
        <f t="shared" si="49"/>
        <v>Error?</v>
      </c>
    </row>
    <row r="3232" spans="1:4" x14ac:dyDescent="0.2">
      <c r="A3232" s="5">
        <v>3171</v>
      </c>
      <c r="B3232" s="138">
        <f>'Acct Summary 7-8'!C77</f>
        <v>944542</v>
      </c>
      <c r="C3232" s="2" t="s">
        <v>593</v>
      </c>
      <c r="D3232" s="2" t="str">
        <f t="shared" si="49"/>
        <v>Error?</v>
      </c>
    </row>
    <row r="3233" spans="1:4" x14ac:dyDescent="0.2">
      <c r="A3233" s="5">
        <v>3172</v>
      </c>
      <c r="B3233" s="138">
        <f>'Acct Summary 7-8'!C78</f>
        <v>1361562</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60202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400000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400000</v>
      </c>
      <c r="C3255" s="2" t="s">
        <v>593</v>
      </c>
      <c r="D3255" s="2" t="str">
        <f t="shared" si="49"/>
        <v>Error?</v>
      </c>
    </row>
    <row r="3256" spans="1:4" x14ac:dyDescent="0.2">
      <c r="A3256" s="5">
        <v>3195</v>
      </c>
      <c r="B3256" s="138">
        <f>'Acct Summary 7-8'!F78</f>
        <v>541855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-123964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25790</v>
      </c>
      <c r="D3273" s="2" t="str">
        <f t="shared" si="50"/>
        <v>Error?</v>
      </c>
    </row>
    <row r="3274" spans="1:4" x14ac:dyDescent="0.2">
      <c r="A3274" s="5">
        <v>3213</v>
      </c>
      <c r="B3274" s="138">
        <f>'Acct Summary 7-8'!E44</f>
        <v>5320932</v>
      </c>
      <c r="C3274" s="2" t="s">
        <v>593</v>
      </c>
      <c r="D3274" s="2" t="str">
        <f t="shared" si="50"/>
        <v>Error?</v>
      </c>
    </row>
    <row r="3275" spans="1:4" x14ac:dyDescent="0.2">
      <c r="A3275" s="5">
        <v>3214</v>
      </c>
      <c r="B3275" s="138">
        <f>'Acct Summary 7-8'!E75</f>
        <v>100777</v>
      </c>
      <c r="D3275" s="2" t="str">
        <f t="shared" si="50"/>
        <v>Error?</v>
      </c>
    </row>
    <row r="3276" spans="1:4" x14ac:dyDescent="0.2">
      <c r="A3276" s="5">
        <v>3215</v>
      </c>
      <c r="B3276" s="138">
        <f>'Acct Summary 7-8'!E76</f>
        <v>104337</v>
      </c>
      <c r="C3276" s="2" t="s">
        <v>593</v>
      </c>
      <c r="D3276" s="2" t="str">
        <f t="shared" si="50"/>
        <v>Error?</v>
      </c>
    </row>
    <row r="3277" spans="1:4" x14ac:dyDescent="0.2">
      <c r="A3277" s="5">
        <v>3216</v>
      </c>
      <c r="B3277" s="138">
        <f>'Acct Summary 7-8'!E77</f>
        <v>5216595</v>
      </c>
      <c r="C3277" s="2" t="s">
        <v>593</v>
      </c>
      <c r="D3277" s="2" t="str">
        <f t="shared" si="50"/>
        <v>Error?</v>
      </c>
    </row>
    <row r="3278" spans="1:4" x14ac:dyDescent="0.2">
      <c r="A3278" s="5">
        <v>3217</v>
      </c>
      <c r="B3278" s="138">
        <f>'Acct Summary 7-8'!E78</f>
        <v>-198654</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595</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1400000</v>
      </c>
      <c r="C3318" s="2" t="s">
        <v>593</v>
      </c>
      <c r="D3318" s="2" t="str">
        <f t="shared" si="50"/>
        <v>Error?</v>
      </c>
    </row>
    <row r="3319" spans="1:4" x14ac:dyDescent="0.2">
      <c r="A3319" s="5">
        <v>3258</v>
      </c>
      <c r="B3319" s="138">
        <f>'Acct Summary 7-8'!I77</f>
        <v>-1400000</v>
      </c>
      <c r="C3319" s="2" t="s">
        <v>593</v>
      </c>
      <c r="D3319" s="2" t="str">
        <f t="shared" si="50"/>
        <v>Error?</v>
      </c>
    </row>
    <row r="3320" spans="1:4" x14ac:dyDescent="0.2">
      <c r="A3320" s="5">
        <v>3259</v>
      </c>
      <c r="B3320" s="138">
        <f>'Acct Summary 7-8'!I78</f>
        <v>-1338247</v>
      </c>
      <c r="C3320" s="2" t="s">
        <v>593</v>
      </c>
      <c r="D3320" s="2" t="str">
        <f t="shared" si="50"/>
        <v>Error?</v>
      </c>
    </row>
    <row r="3321" spans="1:4" x14ac:dyDescent="0.2">
      <c r="A3321" s="5">
        <v>3260</v>
      </c>
      <c r="B3321" s="138">
        <f>'Acct Summary 7-8'!I79</f>
        <v>3296630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1958383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1008939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336860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5129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35529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1386457</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41582</v>
      </c>
      <c r="D3387" s="2" t="str">
        <f t="shared" si="51"/>
        <v>Error?</v>
      </c>
    </row>
    <row r="3388" spans="1:4" x14ac:dyDescent="0.2">
      <c r="A3388" s="5">
        <v>3327</v>
      </c>
      <c r="B3388" s="138">
        <f>'Expenditures 15-22'!D217</f>
        <v>90873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41582</v>
      </c>
      <c r="C3390" s="2" t="s">
        <v>593</v>
      </c>
      <c r="D3390" s="2" t="str">
        <f t="shared" si="51"/>
        <v>Error?</v>
      </c>
    </row>
    <row r="3391" spans="1:4" x14ac:dyDescent="0.2">
      <c r="A3391" s="5">
        <v>3330</v>
      </c>
      <c r="B3391" s="138">
        <f>'Expenditures 15-22'!K217</f>
        <v>90873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632866</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1833087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343582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414999</v>
      </c>
      <c r="D3417" s="2" t="str">
        <f t="shared" si="52"/>
        <v>Error?</v>
      </c>
    </row>
    <row r="3418" spans="1:4" x14ac:dyDescent="0.2">
      <c r="A3418" s="10">
        <v>3357</v>
      </c>
      <c r="D3418" s="2" t="str">
        <f t="shared" si="52"/>
        <v>OK</v>
      </c>
    </row>
    <row r="3419" spans="1:4" x14ac:dyDescent="0.2">
      <c r="A3419" s="5">
        <v>3358</v>
      </c>
      <c r="B3419" s="138">
        <f>'Assets-Liab 5-6'!F4</f>
        <v>574369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261488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3111</v>
      </c>
      <c r="D3425" s="2" t="str">
        <f t="shared" si="52"/>
        <v>Error?</v>
      </c>
    </row>
    <row r="3426" spans="1:4" x14ac:dyDescent="0.2">
      <c r="A3426" s="10">
        <v>3365</v>
      </c>
      <c r="D3426" s="2" t="str">
        <f t="shared" si="52"/>
        <v>OK</v>
      </c>
    </row>
    <row r="3427" spans="1:4" x14ac:dyDescent="0.2">
      <c r="A3427" s="5">
        <v>3366</v>
      </c>
      <c r="B3427" s="138">
        <f>'Assets-Liab 5-6'!I4</f>
        <v>1958383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269019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185713</v>
      </c>
      <c r="C3446" s="2" t="s">
        <v>593</v>
      </c>
      <c r="D3446" s="2" t="str">
        <f t="shared" si="52"/>
        <v>Error?</v>
      </c>
    </row>
    <row r="3447" spans="1:4" x14ac:dyDescent="0.2">
      <c r="A3447" s="5">
        <v>3386</v>
      </c>
      <c r="B3447" s="138">
        <f>'Tax Sched 23'!D16</f>
        <v>135249</v>
      </c>
      <c r="C3447" s="2" t="s">
        <v>593</v>
      </c>
      <c r="D3447" s="2" t="str">
        <f t="shared" si="52"/>
        <v>Error?</v>
      </c>
    </row>
    <row r="3448" spans="1:4" x14ac:dyDescent="0.2">
      <c r="A3448" s="5">
        <v>3387</v>
      </c>
      <c r="B3448" s="138">
        <f>'Tax Sched 23'!C16</f>
        <v>50464</v>
      </c>
      <c r="D3448" s="2" t="str">
        <f t="shared" si="52"/>
        <v>Error?</v>
      </c>
    </row>
    <row r="3449" spans="1:4" x14ac:dyDescent="0.2">
      <c r="A3449" s="5">
        <v>3388</v>
      </c>
      <c r="B3449" s="138">
        <f>'Tax Sched 23'!F16</f>
        <v>164786</v>
      </c>
      <c r="C3449" s="2" t="s">
        <v>593</v>
      </c>
      <c r="D3449" s="2" t="str">
        <f t="shared" si="52"/>
        <v>Error?</v>
      </c>
    </row>
    <row r="3450" spans="1:4" x14ac:dyDescent="0.2">
      <c r="A3450" s="5">
        <v>3389</v>
      </c>
      <c r="B3450" s="138">
        <f>'Tax Sched 23'!E16</f>
        <v>215250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204201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204201</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204201</v>
      </c>
      <c r="D3567" s="2" t="str">
        <f t="shared" si="54"/>
        <v>Error?</v>
      </c>
    </row>
    <row r="3568" spans="1:4" x14ac:dyDescent="0.2">
      <c r="A3568" s="5">
        <v>3507</v>
      </c>
      <c r="B3568" s="138">
        <f>'Assets-Liab 5-6'!K41</f>
        <v>204201</v>
      </c>
      <c r="C3568" s="2" t="s">
        <v>593</v>
      </c>
      <c r="D3568" s="2" t="str">
        <f t="shared" si="54"/>
        <v>Error?</v>
      </c>
    </row>
    <row r="3569" spans="1:4" x14ac:dyDescent="0.2">
      <c r="A3569" s="5">
        <v>3508</v>
      </c>
      <c r="B3569" s="138">
        <f>'Acct Summary 7-8'!K4</f>
        <v>55522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55522</v>
      </c>
      <c r="C3571" s="2" t="s">
        <v>593</v>
      </c>
      <c r="D3571" s="2" t="str">
        <f t="shared" si="54"/>
        <v>Error?</v>
      </c>
    </row>
    <row r="3572" spans="1:4" x14ac:dyDescent="0.2">
      <c r="A3572" s="5">
        <v>3511</v>
      </c>
      <c r="B3572" s="138">
        <f>'Acct Summary 7-8'!K13</f>
        <v>1132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1132</v>
      </c>
      <c r="C3575" s="2" t="s">
        <v>593</v>
      </c>
      <c r="D3575" s="2" t="str">
        <f t="shared" si="54"/>
        <v>Error?</v>
      </c>
    </row>
    <row r="3576" spans="1:4" x14ac:dyDescent="0.2">
      <c r="A3576" s="5">
        <v>3515</v>
      </c>
      <c r="B3576" s="138">
        <f>'Acct Summary 7-8'!K20</f>
        <v>54390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54390</v>
      </c>
      <c r="C3588" s="2" t="s">
        <v>593</v>
      </c>
      <c r="D3588" s="2" t="str">
        <f t="shared" si="55"/>
        <v>Error?</v>
      </c>
    </row>
    <row r="3589" spans="1:4" x14ac:dyDescent="0.2">
      <c r="A3589" s="5">
        <v>3528</v>
      </c>
      <c r="B3589" s="138">
        <f>'Acct Summary 7-8'!K79</f>
        <v>149811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204201</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600</v>
      </c>
      <c r="D3632" s="2" t="str">
        <f t="shared" si="55"/>
        <v>Error?</v>
      </c>
    </row>
    <row r="3633" spans="1:4" x14ac:dyDescent="0.2">
      <c r="A3633" s="5">
        <v>3572</v>
      </c>
      <c r="B3633" s="138">
        <f>'Expenditures 15-22'!E350</f>
        <v>600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600</v>
      </c>
      <c r="C3635" s="2" t="s">
        <v>593</v>
      </c>
      <c r="D3635" s="2" t="str">
        <f t="shared" si="55"/>
        <v>Error?</v>
      </c>
    </row>
    <row r="3636" spans="1:4" x14ac:dyDescent="0.2">
      <c r="A3636" s="5">
        <v>3575</v>
      </c>
      <c r="B3636" s="138">
        <f>'Expenditures 15-22'!E367</f>
        <v>600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532</v>
      </c>
      <c r="D3639" s="2" t="str">
        <f t="shared" si="55"/>
        <v>Error?</v>
      </c>
    </row>
    <row r="3640" spans="1:4" x14ac:dyDescent="0.2">
      <c r="A3640" s="5">
        <v>3579</v>
      </c>
      <c r="B3640" s="138">
        <f>'Expenditures 15-22'!F350</f>
        <v>532</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532</v>
      </c>
      <c r="C3642" s="2" t="s">
        <v>593</v>
      </c>
      <c r="D3642" s="2" t="str">
        <f t="shared" si="55"/>
        <v>Error?</v>
      </c>
    </row>
    <row r="3643" spans="1:4" x14ac:dyDescent="0.2">
      <c r="A3643" s="5">
        <v>3582</v>
      </c>
      <c r="B3643" s="138">
        <f>'Expenditures 15-22'!F367</f>
        <v>532</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1132</v>
      </c>
      <c r="C3669" s="2" t="s">
        <v>593</v>
      </c>
      <c r="D3669" s="2" t="str">
        <f t="shared" si="56"/>
        <v>Error?</v>
      </c>
    </row>
    <row r="3670" spans="1:4" x14ac:dyDescent="0.2">
      <c r="A3670" s="5">
        <v>3609</v>
      </c>
      <c r="B3670" s="138">
        <f>'Expenditures 15-22'!K350</f>
        <v>1132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1132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1132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54390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54199</v>
      </c>
      <c r="C3725" s="2" t="s">
        <v>593</v>
      </c>
      <c r="D3725" s="2" t="str">
        <f t="shared" si="57"/>
        <v>Error?</v>
      </c>
    </row>
    <row r="3726" spans="1:4" x14ac:dyDescent="0.2">
      <c r="A3726" s="5">
        <v>3665</v>
      </c>
      <c r="B3726" s="138">
        <f>'Tax Sched 23'!D13</f>
        <v>39780</v>
      </c>
      <c r="C3726" s="2" t="s">
        <v>593</v>
      </c>
      <c r="D3726" s="2" t="str">
        <f t="shared" si="57"/>
        <v>Error?</v>
      </c>
    </row>
    <row r="3727" spans="1:4" x14ac:dyDescent="0.2">
      <c r="A3727" s="5">
        <v>3666</v>
      </c>
      <c r="B3727" s="138">
        <f>'Tax Sched 23'!C13</f>
        <v>14419</v>
      </c>
      <c r="D3727" s="2" t="str">
        <f t="shared" si="57"/>
        <v>Error?</v>
      </c>
    </row>
    <row r="3728" spans="1:4" x14ac:dyDescent="0.2">
      <c r="A3728" s="5">
        <v>3667</v>
      </c>
      <c r="B3728" s="138">
        <f>'Tax Sched 23'!F13</f>
        <v>47086</v>
      </c>
      <c r="C3728" s="2" t="s">
        <v>593</v>
      </c>
      <c r="D3728" s="2" t="str">
        <f t="shared" si="57"/>
        <v>Error?</v>
      </c>
    </row>
    <row r="3729" spans="1:4" x14ac:dyDescent="0.2">
      <c r="A3729" s="5">
        <v>3668</v>
      </c>
      <c r="B3729" s="138">
        <f>'Tax Sched 23'!E13</f>
        <v>61505</v>
      </c>
      <c r="D3729" s="2" t="str">
        <f t="shared" si="57"/>
        <v>Error?</v>
      </c>
    </row>
    <row r="3730" spans="1:4" x14ac:dyDescent="0.2">
      <c r="A3730" s="5">
        <v>3669</v>
      </c>
      <c r="B3730" s="138">
        <f>'ICR Computation 30'!E10</f>
        <v>531264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67101</v>
      </c>
      <c r="D4081" s="2" t="str">
        <f t="shared" si="62"/>
        <v>Error?</v>
      </c>
    </row>
    <row r="4082" spans="1:4" x14ac:dyDescent="0.2">
      <c r="A4082" s="5">
        <v>4021</v>
      </c>
      <c r="B4082" s="138">
        <f>'Expenditures 15-22'!D180</f>
        <v>6848</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73949</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543623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11024629</v>
      </c>
      <c r="C4122" s="2" t="s">
        <v>593</v>
      </c>
      <c r="D4122" s="2" t="str">
        <f t="shared" si="63"/>
        <v>Error?</v>
      </c>
    </row>
    <row r="4123" spans="1:4" x14ac:dyDescent="0.2">
      <c r="A4123" s="5">
        <v>4062</v>
      </c>
      <c r="B4123" s="138">
        <f>'Acct Summary 7-8'!D10</f>
        <v>578497</v>
      </c>
      <c r="C4123" s="2" t="s">
        <v>593</v>
      </c>
      <c r="D4123" s="2" t="str">
        <f t="shared" si="63"/>
        <v>Error?</v>
      </c>
    </row>
    <row r="4124" spans="1:4" x14ac:dyDescent="0.2">
      <c r="A4124" s="5">
        <v>4063</v>
      </c>
      <c r="B4124" s="138">
        <f>'Acct Summary 7-8'!E10</f>
        <v>1440962</v>
      </c>
      <c r="C4124" s="2" t="s">
        <v>593</v>
      </c>
      <c r="D4124" s="2" t="str">
        <f t="shared" si="63"/>
        <v>Error?</v>
      </c>
    </row>
    <row r="4125" spans="1:4" x14ac:dyDescent="0.2">
      <c r="A4125" s="5">
        <v>4064</v>
      </c>
      <c r="B4125" s="138">
        <f>'Acct Summary 7-8'!F10</f>
        <v>1144811</v>
      </c>
      <c r="C4125" s="2" t="s">
        <v>593</v>
      </c>
      <c r="D4125" s="2" t="str">
        <f t="shared" si="63"/>
        <v>Error?</v>
      </c>
    </row>
    <row r="4126" spans="1:4" x14ac:dyDescent="0.2">
      <c r="A4126" s="5">
        <v>4065</v>
      </c>
      <c r="B4126" s="138">
        <f>'Acct Summary 7-8'!G10</f>
        <v>414232</v>
      </c>
      <c r="C4126" s="2" t="s">
        <v>593</v>
      </c>
      <c r="D4126" s="2" t="str">
        <f t="shared" si="63"/>
        <v>Error?</v>
      </c>
    </row>
    <row r="4127" spans="1:4" x14ac:dyDescent="0.2">
      <c r="A4127" s="5">
        <v>4066</v>
      </c>
      <c r="B4127" s="138">
        <f>'Acct Summary 7-8'!H10</f>
        <v>595</v>
      </c>
      <c r="C4127" s="2" t="s">
        <v>593</v>
      </c>
      <c r="D4127" s="2" t="str">
        <f t="shared" si="63"/>
        <v>Error?</v>
      </c>
    </row>
    <row r="4128" spans="1:4" x14ac:dyDescent="0.2">
      <c r="A4128" s="5">
        <v>4067</v>
      </c>
      <c r="B4128" s="138">
        <f>'Acct Summary 7-8'!I10</f>
        <v>61753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55522</v>
      </c>
      <c r="C4130" s="2" t="s">
        <v>593</v>
      </c>
      <c r="D4130" s="2" t="str">
        <f t="shared" si="63"/>
        <v>Error?</v>
      </c>
    </row>
    <row r="4131" spans="1:4" x14ac:dyDescent="0.2">
      <c r="A4131" s="5">
        <v>4070</v>
      </c>
      <c r="B4131" s="138">
        <f>'Acct Summary 7-8'!C18</f>
        <v>543623</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10607609</v>
      </c>
      <c r="C4136" s="2" t="s">
        <v>593</v>
      </c>
      <c r="D4136" s="2" t="str">
        <f t="shared" si="63"/>
        <v>Error?</v>
      </c>
    </row>
    <row r="4137" spans="1:4" x14ac:dyDescent="0.2">
      <c r="A4137" s="5">
        <v>4076</v>
      </c>
      <c r="B4137" s="138">
        <f>'Acct Summary 7-8'!D19</f>
        <v>518295</v>
      </c>
      <c r="C4137" s="2" t="s">
        <v>593</v>
      </c>
      <c r="D4137" s="2" t="str">
        <f t="shared" si="63"/>
        <v>Error?</v>
      </c>
    </row>
    <row r="4138" spans="1:4" x14ac:dyDescent="0.2">
      <c r="A4138" s="5">
        <v>4077</v>
      </c>
      <c r="B4138" s="138">
        <f>'Acct Summary 7-8'!E19</f>
        <v>6856211</v>
      </c>
      <c r="C4138" s="2" t="s">
        <v>593</v>
      </c>
      <c r="D4138" s="2" t="str">
        <f t="shared" si="63"/>
        <v>Error?</v>
      </c>
    </row>
    <row r="4139" spans="1:4" x14ac:dyDescent="0.2">
      <c r="A4139" s="5">
        <v>4078</v>
      </c>
      <c r="B4139" s="138">
        <f>'Acct Summary 7-8'!F19</f>
        <v>1002956</v>
      </c>
      <c r="C4139" s="2" t="s">
        <v>593</v>
      </c>
      <c r="D4139" s="2" t="str">
        <f t="shared" si="63"/>
        <v>Error?</v>
      </c>
    </row>
    <row r="4140" spans="1:4" x14ac:dyDescent="0.2">
      <c r="A4140" s="5">
        <v>4079</v>
      </c>
      <c r="B4140" s="138">
        <f>'Acct Summary 7-8'!G19</f>
        <v>538196</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1132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10292924</v>
      </c>
      <c r="C4171" s="2" t="s">
        <v>593</v>
      </c>
      <c r="D4171" s="2" t="str">
        <f t="shared" si="64"/>
        <v>Error?</v>
      </c>
    </row>
    <row r="4172" spans="1:4" x14ac:dyDescent="0.2">
      <c r="A4172" s="5">
        <v>4111</v>
      </c>
      <c r="B4172" s="138">
        <f>'Short-Term Long-Term Debt 24'!J49</f>
        <v>9877925</v>
      </c>
      <c r="C4172" s="2" t="s">
        <v>593</v>
      </c>
      <c r="D4172" s="2" t="str">
        <f t="shared" si="64"/>
        <v>Error?</v>
      </c>
    </row>
    <row r="4173" spans="1:4" x14ac:dyDescent="0.2">
      <c r="A4173" s="5">
        <v>4112</v>
      </c>
      <c r="B4173" s="138">
        <f>'Short-Term Long-Term Debt 24'!H49</f>
        <v>6256313</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3290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3990</v>
      </c>
      <c r="C4268" s="2" t="s">
        <v>593</v>
      </c>
      <c r="D4268" s="2" t="str">
        <f t="shared" si="65"/>
        <v>Error?</v>
      </c>
    </row>
    <row r="4269" spans="1:5" x14ac:dyDescent="0.2">
      <c r="A4269" s="12">
        <v>4208</v>
      </c>
      <c r="B4269" s="138">
        <f>'FP Info 3'!J16</f>
        <v>4698524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26896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96055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47106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125901764</v>
      </c>
      <c r="D4995" s="2" t="str">
        <f t="shared" si="77"/>
        <v>Error?</v>
      </c>
    </row>
    <row r="4996" spans="1:4" x14ac:dyDescent="0.2">
      <c r="A4996" s="12">
        <v>4935</v>
      </c>
      <c r="B4996" s="138">
        <f>'FP Info 3'!H31</f>
        <v>17374443.432</v>
      </c>
      <c r="D4996" s="2" t="str">
        <f t="shared" si="77"/>
        <v>Error?</v>
      </c>
    </row>
    <row r="4997" spans="1:4" x14ac:dyDescent="0.2">
      <c r="A4997" s="12">
        <v>4936</v>
      </c>
      <c r="B4997" s="138">
        <f>'FP Info 3'!H37</f>
        <v>10292924</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54199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3024125</v>
      </c>
      <c r="D5061" s="2" t="str">
        <f t="shared" si="78"/>
        <v>Error?</v>
      </c>
    </row>
    <row r="5062" spans="1:4" x14ac:dyDescent="0.2">
      <c r="A5062" s="10">
        <v>5001</v>
      </c>
      <c r="D5062" s="2" t="str">
        <f t="shared" si="78"/>
        <v>OK</v>
      </c>
    </row>
    <row r="5063" spans="1:4" x14ac:dyDescent="0.2">
      <c r="A5063" s="5">
        <v>5002</v>
      </c>
      <c r="B5063" s="138">
        <f>'Revenues 9-14'!C7</f>
        <v>43361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3121685</v>
      </c>
      <c r="C5066" s="2" t="s">
        <v>593</v>
      </c>
      <c r="D5066" s="2" t="str">
        <f t="shared" si="78"/>
        <v>Error?</v>
      </c>
    </row>
    <row r="5067" spans="1:4" x14ac:dyDescent="0.2">
      <c r="A5067" s="5">
        <v>5006</v>
      </c>
      <c r="B5067" s="138">
        <f>'Revenues 9-14'!C14</f>
        <v>9519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365913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375432</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14542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14542</v>
      </c>
      <c r="C5090" s="2" t="s">
        <v>593</v>
      </c>
      <c r="D5090" s="2" t="str">
        <f t="shared" si="78"/>
        <v>Error?</v>
      </c>
    </row>
    <row r="5091" spans="1:4" x14ac:dyDescent="0.2">
      <c r="A5091" s="5">
        <v>5030</v>
      </c>
      <c r="B5091" s="138">
        <f>'Revenues 9-14'!C70</f>
        <v>5549</v>
      </c>
      <c r="D5091" s="2" t="str">
        <f t="shared" si="78"/>
        <v>Error?</v>
      </c>
    </row>
    <row r="5092" spans="1:4" x14ac:dyDescent="0.2">
      <c r="A5092" s="5">
        <v>5031</v>
      </c>
      <c r="B5092" s="138">
        <f>'Revenues 9-14'!C71</f>
        <v>9796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12184</v>
      </c>
      <c r="D5094" s="2" t="str">
        <f t="shared" si="78"/>
        <v>Error?</v>
      </c>
    </row>
    <row r="5095" spans="1:4" x14ac:dyDescent="0.2">
      <c r="A5095" s="5">
        <v>5034</v>
      </c>
      <c r="B5095" s="138">
        <f>'Revenues 9-14'!C74</f>
        <v>23695</v>
      </c>
      <c r="D5095" s="2" t="str">
        <f t="shared" si="78"/>
        <v>Error?</v>
      </c>
    </row>
    <row r="5096" spans="1:4" x14ac:dyDescent="0.2">
      <c r="A5096" s="5">
        <v>5035</v>
      </c>
      <c r="B5096" s="138">
        <f>'Revenues 9-14'!C75</f>
        <v>91061</v>
      </c>
      <c r="C5096" s="2" t="s">
        <v>593</v>
      </c>
      <c r="D5096" s="2" t="str">
        <f t="shared" si="78"/>
        <v>Error?</v>
      </c>
    </row>
    <row r="5097" spans="1:4" x14ac:dyDescent="0.2">
      <c r="A5097" s="5">
        <v>5036</v>
      </c>
      <c r="B5097" s="138">
        <f>'Revenues 9-14'!C77</f>
        <v>26729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27449</v>
      </c>
      <c r="C5102" s="2" t="s">
        <v>593</v>
      </c>
      <c r="D5102" s="2" t="str">
        <f t="shared" si="78"/>
        <v>Error?</v>
      </c>
    </row>
    <row r="5103" spans="1:4" x14ac:dyDescent="0.2">
      <c r="A5103" s="5">
        <v>5042</v>
      </c>
      <c r="B5103" s="138">
        <f>'Revenues 9-14'!C84</f>
        <v>40576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40576</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45841</v>
      </c>
      <c r="D5114" s="2" t="str">
        <f t="shared" si="78"/>
        <v>Error?</v>
      </c>
    </row>
    <row r="5115" spans="1:4" x14ac:dyDescent="0.2">
      <c r="A5115" s="5">
        <v>5054</v>
      </c>
      <c r="B5115" s="138">
        <f>'Revenues 9-14'!C98</f>
        <v>2660</v>
      </c>
      <c r="D5115" s="2" t="str">
        <f t="shared" si="78"/>
        <v>Error?</v>
      </c>
    </row>
    <row r="5116" spans="1:4" x14ac:dyDescent="0.2">
      <c r="A5116" s="5">
        <v>5055</v>
      </c>
      <c r="B5116" s="138">
        <f>'Revenues 9-14'!C99</f>
        <v>6815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133283</v>
      </c>
      <c r="D5119" s="2" t="str">
        <f t="shared" ref="D5119:D5182" si="79">IF(ISBLANK(B5119),"OK",IF(A5119-B5119=0,"OK","Error?"))</f>
        <v>Error?</v>
      </c>
    </row>
    <row r="5120" spans="1:4" x14ac:dyDescent="0.2">
      <c r="A5120" s="5">
        <v>5059</v>
      </c>
      <c r="B5120" s="138">
        <f>'Revenues 9-14'!C108</f>
        <v>196599</v>
      </c>
      <c r="C5120" s="2" t="s">
        <v>593</v>
      </c>
      <c r="D5120" s="2" t="str">
        <f t="shared" si="79"/>
        <v>Error?</v>
      </c>
    </row>
    <row r="5121" spans="1:4" x14ac:dyDescent="0.2">
      <c r="A5121" s="5">
        <v>5060</v>
      </c>
      <c r="B5121" s="138">
        <f>'Revenues 9-14'!C109</f>
        <v>3867344</v>
      </c>
      <c r="C5121" s="2" t="s">
        <v>593</v>
      </c>
      <c r="D5121" s="2" t="str">
        <f t="shared" si="79"/>
        <v>Error?</v>
      </c>
    </row>
    <row r="5122" spans="1:4" x14ac:dyDescent="0.2">
      <c r="A5122" s="5">
        <v>5061</v>
      </c>
      <c r="B5122" s="138">
        <f>'Revenues 9-14'!C111</f>
        <v>632866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632866</v>
      </c>
      <c r="C5125" s="2" t="s">
        <v>593</v>
      </c>
      <c r="D5125" s="2" t="str">
        <f t="shared" si="79"/>
        <v>Error?</v>
      </c>
    </row>
    <row r="5126" spans="1:4" x14ac:dyDescent="0.2">
      <c r="A5126" s="5">
        <v>5065</v>
      </c>
      <c r="B5126" s="138">
        <f>'Revenues 9-14'!C117</f>
        <v>3878662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3878662</v>
      </c>
      <c r="C5132" s="2" t="s">
        <v>593</v>
      </c>
      <c r="D5132" s="2" t="str">
        <f t="shared" si="79"/>
        <v>Error?</v>
      </c>
    </row>
    <row r="5133" spans="1:4" x14ac:dyDescent="0.2">
      <c r="A5133" s="5">
        <v>5072</v>
      </c>
      <c r="B5133" s="138">
        <f>'Revenues 9-14'!C124</f>
        <v>20129</v>
      </c>
      <c r="D5133" s="2" t="str">
        <f t="shared" si="79"/>
        <v>Error?</v>
      </c>
    </row>
    <row r="5134" spans="1:4" x14ac:dyDescent="0.2">
      <c r="A5134" s="5">
        <v>5073</v>
      </c>
      <c r="B5134" s="138">
        <f>'Revenues 9-14'!C125</f>
        <v>74866</v>
      </c>
      <c r="D5134" s="2" t="str">
        <f t="shared" si="79"/>
        <v>Error?</v>
      </c>
    </row>
    <row r="5135" spans="1:4" x14ac:dyDescent="0.2">
      <c r="A5135" s="5">
        <v>5074</v>
      </c>
      <c r="B5135" s="138">
        <f>'Revenues 9-14'!C126</f>
        <v>117663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212658</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17764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21969</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7979</v>
      </c>
      <c r="D5167" s="2" t="str">
        <f t="shared" si="79"/>
        <v>Error?</v>
      </c>
    </row>
    <row r="5168" spans="1:4" x14ac:dyDescent="0.2">
      <c r="A5168" s="5">
        <v>5107</v>
      </c>
      <c r="B5168" s="138">
        <f>'Revenues 9-14'!C147</f>
        <v>12923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400831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657110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4535772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352556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178708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531264</v>
      </c>
      <c r="C5246" s="2" t="s">
        <v>593</v>
      </c>
      <c r="D5246" s="2" t="str">
        <f t="shared" si="80"/>
        <v>Error?</v>
      </c>
    </row>
    <row r="5247" spans="1:4" x14ac:dyDescent="0.2">
      <c r="A5247" s="5">
        <v>5186</v>
      </c>
      <c r="B5247" s="138">
        <f>'Revenues 9-14'!C203</f>
        <v>282833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282833</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14534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442612</v>
      </c>
      <c r="D5278" s="2" t="str">
        <f t="shared" si="81"/>
        <v>Error?</v>
      </c>
    </row>
    <row r="5279" spans="1:4" x14ac:dyDescent="0.2">
      <c r="A5279" s="5">
        <v>5218</v>
      </c>
      <c r="B5279" s="138">
        <f>'Revenues 9-14'!C221</f>
        <v>3724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460870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1445024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1445024</v>
      </c>
      <c r="C5326" s="2" t="s">
        <v>593</v>
      </c>
      <c r="D5326" s="2" t="str">
        <f t="shared" si="82"/>
        <v>Error?</v>
      </c>
    </row>
    <row r="5327" spans="1:4" x14ac:dyDescent="0.2">
      <c r="A5327" s="5">
        <v>5266</v>
      </c>
      <c r="B5327" s="138">
        <f>'Revenues 9-14'!C275</f>
        <v>10481006</v>
      </c>
      <c r="C5327" s="2" t="s">
        <v>593</v>
      </c>
      <c r="D5327" s="2" t="str">
        <f t="shared" si="82"/>
        <v>Error?</v>
      </c>
    </row>
    <row r="5328" spans="1:4" x14ac:dyDescent="0.2">
      <c r="A5328" s="5">
        <v>5267</v>
      </c>
      <c r="B5328" s="138">
        <f>'Revenues 9-14'!D5</f>
        <v>541962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541962</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2778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2778</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31251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2506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33757</v>
      </c>
      <c r="C5355" s="2" t="s">
        <v>593</v>
      </c>
      <c r="D5355" s="2" t="str">
        <f t="shared" si="82"/>
        <v>Error?</v>
      </c>
    </row>
    <row r="5356" spans="1:4" x14ac:dyDescent="0.2">
      <c r="A5356" s="5">
        <v>5295</v>
      </c>
      <c r="B5356" s="138">
        <f>'Revenues 9-14'!D109</f>
        <v>578497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578497</v>
      </c>
      <c r="C5508" s="2" t="s">
        <v>593</v>
      </c>
      <c r="D5508" s="2" t="str">
        <f t="shared" si="85"/>
        <v>Error?</v>
      </c>
    </row>
    <row r="5509" spans="1:4" x14ac:dyDescent="0.2">
      <c r="A5509" s="5">
        <v>5448</v>
      </c>
      <c r="B5509" s="138">
        <f>'Revenues 9-14'!E5</f>
        <v>1437402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1437402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3560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3560</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1440962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1440962</v>
      </c>
      <c r="C5552" s="2" t="s">
        <v>593</v>
      </c>
      <c r="D5552" s="2" t="str">
        <f t="shared" si="85"/>
        <v>Error?</v>
      </c>
    </row>
    <row r="5553" spans="1:4" x14ac:dyDescent="0.2">
      <c r="A5553" s="5">
        <v>5492</v>
      </c>
      <c r="B5553" s="138">
        <f>'Revenues 9-14'!F5</f>
        <v>216790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216790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1552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1552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6752</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6752</v>
      </c>
      <c r="C5587" s="2" t="s">
        <v>593</v>
      </c>
      <c r="D5587" s="2" t="str">
        <f t="shared" si="86"/>
        <v>Error?</v>
      </c>
    </row>
    <row r="5588" spans="1:4" x14ac:dyDescent="0.2">
      <c r="A5588" s="5">
        <v>5527</v>
      </c>
      <c r="B5588" s="138">
        <f>'Revenues 9-14'!F109</f>
        <v>225094</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445956</v>
      </c>
      <c r="D5615" s="2" t="str">
        <f t="shared" si="86"/>
        <v>Error?</v>
      </c>
    </row>
    <row r="5616" spans="1:4" x14ac:dyDescent="0.2">
      <c r="A5616" s="10">
        <v>5555</v>
      </c>
      <c r="D5616" s="2" t="str">
        <f t="shared" si="86"/>
        <v>OK</v>
      </c>
    </row>
    <row r="5617" spans="1:4" x14ac:dyDescent="0.2">
      <c r="A5617" s="5">
        <v>5556</v>
      </c>
      <c r="B5617" s="138">
        <f>'Revenues 9-14'!F152</f>
        <v>236761</v>
      </c>
      <c r="D5617" s="2" t="str">
        <f t="shared" si="86"/>
        <v>Error?</v>
      </c>
    </row>
    <row r="5618" spans="1:4" x14ac:dyDescent="0.2">
      <c r="A5618" s="5">
        <v>5557</v>
      </c>
      <c r="B5618" s="138">
        <f>'Revenues 9-14'!F154</f>
        <v>682717</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237000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919717</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919717</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1144811</v>
      </c>
      <c r="C5720" s="2" t="s">
        <v>593</v>
      </c>
      <c r="D5720" s="2" t="str">
        <f t="shared" si="88"/>
        <v>Error?</v>
      </c>
    </row>
    <row r="5721" spans="1:4" x14ac:dyDescent="0.2">
      <c r="A5721" s="5">
        <v>5660</v>
      </c>
      <c r="B5721" s="138">
        <f>'Revenues 9-14'!G5</f>
        <v>193668</v>
      </c>
      <c r="D5721" s="2" t="str">
        <f t="shared" si="88"/>
        <v>Error?</v>
      </c>
    </row>
    <row r="5722" spans="1:4" x14ac:dyDescent="0.2">
      <c r="A5722" s="5">
        <v>5661</v>
      </c>
      <c r="B5722" s="138">
        <f>'Revenues 9-14'!G7</f>
        <v>0</v>
      </c>
      <c r="D5722" s="2" t="str">
        <f t="shared" si="88"/>
        <v>Error?</v>
      </c>
    </row>
    <row r="5723" spans="1:4" x14ac:dyDescent="0.2">
      <c r="A5723" s="5">
        <v>5662</v>
      </c>
      <c r="B5723" s="138">
        <f>'Revenues 9-14'!G8</f>
        <v>185713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379381</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31974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31974</v>
      </c>
      <c r="C5730" s="2" t="s">
        <v>593</v>
      </c>
      <c r="D5730" s="2" t="str">
        <f t="shared" si="88"/>
        <v>Error?</v>
      </c>
    </row>
    <row r="5731" spans="1:4" x14ac:dyDescent="0.2">
      <c r="A5731" s="5">
        <v>5670</v>
      </c>
      <c r="B5731" s="138">
        <f>'Revenues 9-14'!G65</f>
        <v>2877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2877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414232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23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572</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595</v>
      </c>
      <c r="C5915" s="2" t="s">
        <v>593</v>
      </c>
      <c r="D5915" s="2" t="str">
        <f t="shared" si="91"/>
        <v>Error?</v>
      </c>
    </row>
    <row r="5916" spans="1:4" x14ac:dyDescent="0.2">
      <c r="A5916" s="5">
        <v>5855</v>
      </c>
      <c r="B5916" s="138">
        <f>'Revenues 9-14'!I5</f>
        <v>54199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54199</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7554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7554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61753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54199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54199</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1323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1323</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55522</v>
      </c>
      <c r="C6023" s="2" t="s">
        <v>593</v>
      </c>
      <c r="D6023" s="2" t="str">
        <f t="shared" si="93"/>
        <v>Error?</v>
      </c>
    </row>
    <row r="6024" spans="1:5" x14ac:dyDescent="0.2">
      <c r="A6024" s="5">
        <v>5963</v>
      </c>
      <c r="B6024" s="138">
        <f>'Revenues 9-14'!G109</f>
        <v>414232</v>
      </c>
      <c r="C6024" s="2" t="s">
        <v>593</v>
      </c>
      <c r="D6024" s="2" t="str">
        <f t="shared" si="93"/>
        <v>Error?</v>
      </c>
    </row>
    <row r="6025" spans="1:5" x14ac:dyDescent="0.2">
      <c r="A6025" s="5">
        <v>5964</v>
      </c>
      <c r="B6025" s="138">
        <f>'Revenues 9-14'!H109</f>
        <v>595</v>
      </c>
      <c r="C6025" s="2" t="s">
        <v>593</v>
      </c>
      <c r="D6025" s="2" t="str">
        <f t="shared" si="93"/>
        <v>Error?</v>
      </c>
    </row>
    <row r="6026" spans="1:5" x14ac:dyDescent="0.2">
      <c r="A6026" s="5">
        <v>5965</v>
      </c>
      <c r="B6026" s="138">
        <f>'Revenues 9-14'!I109</f>
        <v>61753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55522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39837</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51929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956.93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1129</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580438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580438</v>
      </c>
      <c r="D6215" s="2" t="str">
        <f t="shared" si="96"/>
        <v>Error?</v>
      </c>
      <c r="E6215" s="2" t="s">
        <v>199</v>
      </c>
    </row>
    <row r="6216" spans="1:5" x14ac:dyDescent="0.2">
      <c r="A6216">
        <v>6155</v>
      </c>
      <c r="B6216" s="138">
        <f>'Assets-Liab 5-6'!J41</f>
        <v>580438</v>
      </c>
      <c r="D6216" s="2" t="str">
        <f t="shared" si="96"/>
        <v>Error?</v>
      </c>
      <c r="E6216" s="2" t="s">
        <v>199</v>
      </c>
    </row>
    <row r="6217" spans="1:5" x14ac:dyDescent="0.2">
      <c r="A6217">
        <v>6156</v>
      </c>
      <c r="B6217" s="138">
        <f>'Assets-Liab 5-6'!J4</f>
        <v>580438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737362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737362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737362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942964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942964</v>
      </c>
      <c r="D6229" s="2" t="str">
        <f t="shared" si="96"/>
        <v>Error?</v>
      </c>
      <c r="E6229" s="2" t="s">
        <v>199</v>
      </c>
    </row>
    <row r="6230" spans="1:5" x14ac:dyDescent="0.2">
      <c r="A6230">
        <v>6169</v>
      </c>
      <c r="B6230" s="138">
        <f>'Acct Summary 7-8'!J20</f>
        <v>-205602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31652</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1576</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-205602</v>
      </c>
      <c r="D6263" s="2" t="str">
        <f t="shared" si="96"/>
        <v>Error?</v>
      </c>
      <c r="E6263" s="2" t="s">
        <v>199</v>
      </c>
    </row>
    <row r="6264" spans="1:5" x14ac:dyDescent="0.2">
      <c r="A6264">
        <v>6203</v>
      </c>
      <c r="B6264" s="138">
        <f>'Acct Summary 7-8'!J79</f>
        <v>786040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580438</v>
      </c>
      <c r="D6266" s="2" t="str">
        <f t="shared" si="96"/>
        <v>Error?</v>
      </c>
      <c r="E6266" s="2" t="s">
        <v>199</v>
      </c>
    </row>
    <row r="6267" spans="1:5" x14ac:dyDescent="0.2">
      <c r="A6267">
        <v>6206</v>
      </c>
      <c r="B6267" s="138">
        <f>'Acct Summary 7-8'!C82</f>
        <v>1361562</v>
      </c>
      <c r="D6267" s="2" t="str">
        <f t="shared" si="96"/>
        <v>Error?</v>
      </c>
      <c r="E6267" s="2" t="s">
        <v>199</v>
      </c>
    </row>
    <row r="6268" spans="1:5" x14ac:dyDescent="0.2">
      <c r="A6268">
        <v>6207</v>
      </c>
      <c r="B6268" s="138">
        <f>'Acct Summary 7-8'!D82</f>
        <v>60202</v>
      </c>
      <c r="D6268" s="2" t="str">
        <f t="shared" si="96"/>
        <v>Error?</v>
      </c>
      <c r="E6268" s="2" t="s">
        <v>199</v>
      </c>
    </row>
    <row r="6269" spans="1:5" x14ac:dyDescent="0.2">
      <c r="A6269">
        <v>6208</v>
      </c>
      <c r="B6269" s="138">
        <f>'Acct Summary 7-8'!E82</f>
        <v>-198654</v>
      </c>
      <c r="D6269" s="2" t="str">
        <f t="shared" si="96"/>
        <v>Error?</v>
      </c>
      <c r="E6269" s="2" t="s">
        <v>199</v>
      </c>
    </row>
    <row r="6270" spans="1:5" x14ac:dyDescent="0.2">
      <c r="A6270">
        <v>6209</v>
      </c>
      <c r="B6270" s="138">
        <f>'Acct Summary 7-8'!F82</f>
        <v>541855</v>
      </c>
      <c r="D6270" s="2" t="str">
        <f t="shared" si="96"/>
        <v>Error?</v>
      </c>
      <c r="E6270" s="2" t="s">
        <v>199</v>
      </c>
    </row>
    <row r="6271" spans="1:5" x14ac:dyDescent="0.2">
      <c r="A6271">
        <v>6210</v>
      </c>
      <c r="B6271" s="138">
        <f>'Acct Summary 7-8'!G82</f>
        <v>-123964</v>
      </c>
      <c r="D6271" s="2" t="str">
        <f t="shared" ref="D6271:D6334" si="97">IF(ISBLANK(B6271),"OK",IF(A6271-B6271=0,"OK","Error?"))</f>
        <v>Error?</v>
      </c>
      <c r="E6271" s="2" t="s">
        <v>199</v>
      </c>
    </row>
    <row r="6272" spans="1:5" x14ac:dyDescent="0.2">
      <c r="A6272">
        <v>6211</v>
      </c>
      <c r="B6272" s="138">
        <f>'Acct Summary 7-8'!H82</f>
        <v>595</v>
      </c>
      <c r="D6272" s="2" t="str">
        <f t="shared" si="97"/>
        <v>Error?</v>
      </c>
      <c r="E6272" s="2" t="s">
        <v>199</v>
      </c>
    </row>
    <row r="6273" spans="1:5" x14ac:dyDescent="0.2">
      <c r="A6273">
        <v>6212</v>
      </c>
      <c r="B6273" s="138">
        <f>'Acct Summary 7-8'!I82</f>
        <v>-1338247</v>
      </c>
      <c r="D6273" s="2" t="str">
        <f t="shared" si="97"/>
        <v>Error?</v>
      </c>
      <c r="E6273" s="2" t="s">
        <v>199</v>
      </c>
    </row>
    <row r="6274" spans="1:5" x14ac:dyDescent="0.2">
      <c r="A6274">
        <v>6213</v>
      </c>
      <c r="B6274" s="138">
        <f>'Acct Summary 7-8'!J82</f>
        <v>-205602</v>
      </c>
      <c r="D6274" s="2" t="str">
        <f t="shared" si="97"/>
        <v>Error?</v>
      </c>
      <c r="E6274" s="2" t="s">
        <v>199</v>
      </c>
    </row>
    <row r="6275" spans="1:5" x14ac:dyDescent="0.2">
      <c r="A6275">
        <v>6214</v>
      </c>
      <c r="B6275" s="138">
        <f>'Acct Summary 7-8'!K82</f>
        <v>54390</v>
      </c>
      <c r="D6275" s="2" t="str">
        <f t="shared" si="97"/>
        <v>Error?</v>
      </c>
      <c r="E6275" s="2" t="s">
        <v>199</v>
      </c>
    </row>
    <row r="6276" spans="1:5" x14ac:dyDescent="0.2">
      <c r="A6276">
        <v>6215</v>
      </c>
      <c r="B6276" s="138">
        <f>'Acct Summary 7-8'!C83</f>
        <v>0.74719833961046478</v>
      </c>
      <c r="D6276" s="2" t="str">
        <f t="shared" si="97"/>
        <v>Error?</v>
      </c>
      <c r="E6276" s="2" t="s">
        <v>199</v>
      </c>
    </row>
    <row r="6277" spans="1:5" x14ac:dyDescent="0.2">
      <c r="A6277">
        <v>6216</v>
      </c>
      <c r="B6277" s="138">
        <f>'Acct Summary 7-8'!D83</f>
        <v>0.17533048115259944</v>
      </c>
      <c r="D6277" s="2" t="str">
        <f t="shared" si="97"/>
        <v>Error?</v>
      </c>
      <c r="E6277" s="2" t="s">
        <v>199</v>
      </c>
    </row>
    <row r="6278" spans="1:5" x14ac:dyDescent="0.2">
      <c r="A6278">
        <v>6217</v>
      </c>
      <c r="B6278" s="138">
        <f>'Acct Summary 7-8'!E83</f>
        <v>-0.47868549080841161</v>
      </c>
      <c r="D6278" s="2" t="str">
        <f t="shared" si="97"/>
        <v>Error?</v>
      </c>
      <c r="E6278" s="2" t="s">
        <v>199</v>
      </c>
    </row>
    <row r="6279" spans="1:5" x14ac:dyDescent="0.2">
      <c r="A6279">
        <v>6218</v>
      </c>
      <c r="B6279" s="138">
        <f>'Acct Summary 7-8'!F83</f>
        <v>0.94308638859639204</v>
      </c>
      <c r="D6279" s="2" t="str">
        <f t="shared" si="97"/>
        <v>Error?</v>
      </c>
      <c r="E6279" s="2" t="s">
        <v>199</v>
      </c>
    </row>
    <row r="6280" spans="1:5" x14ac:dyDescent="0.2">
      <c r="A6280">
        <v>6219</v>
      </c>
      <c r="B6280" s="138">
        <f>'Acct Summary 7-8'!G83</f>
        <v>-0.47407146790674909</v>
      </c>
      <c r="D6280" s="2" t="str">
        <f t="shared" si="97"/>
        <v>Error?</v>
      </c>
      <c r="E6280" s="2" t="s">
        <v>199</v>
      </c>
    </row>
    <row r="6281" spans="1:5" x14ac:dyDescent="0.2">
      <c r="A6281">
        <v>6220</v>
      </c>
      <c r="B6281" s="138">
        <f>'Acct Summary 7-8'!H83</f>
        <v>0.19125683060109289</v>
      </c>
      <c r="D6281" s="2" t="str">
        <f t="shared" si="97"/>
        <v>Error?</v>
      </c>
      <c r="E6281" s="2" t="s">
        <v>199</v>
      </c>
    </row>
    <row r="6282" spans="1:5" x14ac:dyDescent="0.2">
      <c r="A6282">
        <v>6221</v>
      </c>
      <c r="B6282" s="138">
        <f>'Acct Summary 7-8'!I83</f>
        <v>-0.68334283947522012</v>
      </c>
      <c r="D6282" s="2" t="str">
        <f t="shared" si="97"/>
        <v>Error?</v>
      </c>
      <c r="E6282" s="2" t="s">
        <v>199</v>
      </c>
    </row>
    <row r="6283" spans="1:5" x14ac:dyDescent="0.2">
      <c r="A6283">
        <v>6222</v>
      </c>
      <c r="B6283" s="138">
        <f>'Acct Summary 7-8'!J83</f>
        <v>-0.35421871069778338</v>
      </c>
      <c r="D6283" s="2" t="str">
        <f t="shared" si="97"/>
        <v>Error?</v>
      </c>
      <c r="E6283" s="2" t="s">
        <v>199</v>
      </c>
    </row>
    <row r="6284" spans="1:5" x14ac:dyDescent="0.2">
      <c r="A6284">
        <v>6223</v>
      </c>
      <c r="B6284" s="138">
        <f>'Acct Summary 7-8'!K83</f>
        <v>0.26635520883835045</v>
      </c>
      <c r="D6284" s="2" t="str">
        <f t="shared" si="97"/>
        <v>Error?</v>
      </c>
      <c r="E6284" s="2" t="s">
        <v>199</v>
      </c>
    </row>
    <row r="6285" spans="1:5" x14ac:dyDescent="0.2">
      <c r="A6285">
        <v>6224</v>
      </c>
      <c r="B6285" s="138">
        <f>'Acct Summary 7-8'!E37</f>
        <v>31652</v>
      </c>
      <c r="D6285" s="2" t="str">
        <f t="shared" si="97"/>
        <v>Error?</v>
      </c>
      <c r="E6285" s="2" t="s">
        <v>199</v>
      </c>
    </row>
    <row r="6286" spans="1:5" x14ac:dyDescent="0.2">
      <c r="A6286">
        <v>6225</v>
      </c>
      <c r="B6286" s="138">
        <f>'Acct Summary 7-8'!E38</f>
        <v>1576</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730856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730856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6506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6506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100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7900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737362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4205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2329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21984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74863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65321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151135</v>
      </c>
      <c r="D6880" s="2" t="str">
        <f t="shared" si="106"/>
        <v>Error?</v>
      </c>
    </row>
    <row r="6881" spans="1:4" x14ac:dyDescent="0.2">
      <c r="A6881">
        <v>6820</v>
      </c>
      <c r="B6881" s="138">
        <f>'Expenditures 15-22'!K22</f>
        <v>151135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110405</v>
      </c>
      <c r="D6987" s="2" t="str">
        <f t="shared" si="108"/>
        <v>Error?</v>
      </c>
    </row>
    <row r="6988" spans="1:4" x14ac:dyDescent="0.2">
      <c r="A6988">
        <v>6927</v>
      </c>
      <c r="B6988" s="138">
        <f>'Expenditures 15-22'!K88</f>
        <v>110405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110405</v>
      </c>
      <c r="D6995" s="2" t="str">
        <f t="shared" si="108"/>
        <v>Error?</v>
      </c>
    </row>
    <row r="6996" spans="1:4" x14ac:dyDescent="0.2">
      <c r="A6996">
        <v>6935</v>
      </c>
      <c r="B6996" s="138">
        <f>'Expenditures 15-22'!H93</f>
        <v>493282</v>
      </c>
      <c r="D6996" s="2" t="str">
        <f t="shared" si="108"/>
        <v>Error?</v>
      </c>
    </row>
    <row r="6997" spans="1:4" x14ac:dyDescent="0.2">
      <c r="A6997">
        <v>6936</v>
      </c>
      <c r="B6997" s="138">
        <f>'Expenditures 15-22'!K93</f>
        <v>493282</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493282</v>
      </c>
      <c r="D7012" s="2" t="str">
        <f t="shared" si="108"/>
        <v>Error?</v>
      </c>
    </row>
    <row r="7013" spans="1:4" x14ac:dyDescent="0.2">
      <c r="A7013">
        <v>6952</v>
      </c>
      <c r="B7013" s="138">
        <f>'Expenditures 15-22'!K100</f>
        <v>493282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942964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737362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167</v>
      </c>
      <c r="D7073" s="2" t="str">
        <f t="shared" si="109"/>
        <v>Error?</v>
      </c>
    </row>
    <row r="7074" spans="1:4" x14ac:dyDescent="0.2">
      <c r="A7074">
        <v>7013</v>
      </c>
      <c r="B7074" s="138">
        <f>'Expenditures 15-22'!K216</f>
        <v>167</v>
      </c>
      <c r="D7074" s="2" t="str">
        <f t="shared" si="109"/>
        <v>Error?</v>
      </c>
    </row>
    <row r="7075" spans="1:4" x14ac:dyDescent="0.2">
      <c r="A7075">
        <v>7014</v>
      </c>
      <c r="B7075" s="138">
        <f>'Expenditures 15-22'!D218</f>
        <v>8440</v>
      </c>
      <c r="D7075" s="2" t="str">
        <f t="shared" si="109"/>
        <v>Error?</v>
      </c>
    </row>
    <row r="7076" spans="1:4" x14ac:dyDescent="0.2">
      <c r="A7076">
        <v>7015</v>
      </c>
      <c r="B7076" s="138">
        <f>'Expenditures 15-22'!K218</f>
        <v>8440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834</v>
      </c>
      <c r="D7079" s="2" t="str">
        <f t="shared" si="109"/>
        <v>Error?</v>
      </c>
    </row>
    <row r="7080" spans="1:4" x14ac:dyDescent="0.2">
      <c r="A7080">
        <v>7019</v>
      </c>
      <c r="B7080" s="138">
        <f>'Expenditures 15-22'!K226</f>
        <v>834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54262</v>
      </c>
      <c r="D7129" s="2" t="str">
        <f t="shared" si="110"/>
        <v>Error?</v>
      </c>
    </row>
    <row r="7130" spans="1:4" x14ac:dyDescent="0.2">
      <c r="A7130">
        <v>7069</v>
      </c>
      <c r="B7130" s="138">
        <f>'Expenditures 15-22'!F320</f>
        <v>1670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55932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16483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16483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34797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34797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1309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1309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764757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3712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768469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46872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46872</v>
      </c>
      <c r="D7198" s="2" t="str">
        <f t="shared" si="111"/>
        <v>Error?</v>
      </c>
    </row>
    <row r="7199" spans="1:4" x14ac:dyDescent="0.2">
      <c r="A7199">
        <v>7138</v>
      </c>
      <c r="B7199" s="138">
        <f>'Expenditures 15-22'!C330</f>
        <v>764757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176537</v>
      </c>
      <c r="D7201" s="2" t="str">
        <f t="shared" si="111"/>
        <v>Error?</v>
      </c>
    </row>
    <row r="7202" spans="1:4" x14ac:dyDescent="0.2">
      <c r="A7202">
        <v>7141</v>
      </c>
      <c r="B7202" s="138">
        <f>'Expenditures 15-22'!F330</f>
        <v>1670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942964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764757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176537</v>
      </c>
      <c r="D7218" s="2" t="str">
        <f t="shared" si="111"/>
        <v>Error?</v>
      </c>
    </row>
    <row r="7219" spans="1:4" x14ac:dyDescent="0.2">
      <c r="A7219">
        <v>7158</v>
      </c>
      <c r="B7219" s="138">
        <f>'Expenditures 15-22'!F342</f>
        <v>1670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942964</v>
      </c>
      <c r="D7224" s="2" t="str">
        <f t="shared" si="111"/>
        <v>Error?</v>
      </c>
    </row>
    <row r="7225" spans="1:4" x14ac:dyDescent="0.2">
      <c r="A7225">
        <v>7164</v>
      </c>
      <c r="B7225" s="138">
        <f>'Expenditures 15-22'!K343</f>
        <v>-205602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v>
      </c>
      <c r="D7246" s="2" t="str">
        <f t="shared" si="112"/>
        <v>Error?</v>
      </c>
    </row>
    <row r="7247" spans="1:4" x14ac:dyDescent="0.2">
      <c r="A7247">
        <f t="shared" si="113"/>
        <v>7186</v>
      </c>
      <c r="B7247" s="138">
        <f>'Expenditures 15-22'!E7</f>
        <v>2552</v>
      </c>
      <c r="D7247" s="2" t="str">
        <f t="shared" si="112"/>
        <v>Error?</v>
      </c>
    </row>
    <row r="7248" spans="1:4" x14ac:dyDescent="0.2">
      <c r="A7248">
        <f t="shared" si="113"/>
        <v>7187</v>
      </c>
      <c r="B7248" s="138">
        <f>'Expenditures 15-22'!F7</f>
        <v>17100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56177</v>
      </c>
      <c r="D7251" s="2" t="str">
        <f t="shared" si="112"/>
        <v>Error?</v>
      </c>
    </row>
    <row r="7252" spans="1:4" x14ac:dyDescent="0.2">
      <c r="A7252">
        <f t="shared" si="113"/>
        <v>7191</v>
      </c>
      <c r="B7252" s="138">
        <f>'Expenditures 15-22'!D9</f>
        <v>18686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47547</v>
      </c>
      <c r="D7263" s="2" t="str">
        <f t="shared" si="112"/>
        <v>Error?</v>
      </c>
    </row>
    <row r="7264" spans="1:4" x14ac:dyDescent="0.2">
      <c r="A7264">
        <f t="shared" si="113"/>
        <v>7203</v>
      </c>
      <c r="B7264" s="138">
        <f>'Expenditures 15-22'!D17</f>
        <v>17128</v>
      </c>
      <c r="D7264" s="2" t="str">
        <f t="shared" si="112"/>
        <v>Error?</v>
      </c>
    </row>
    <row r="7265" spans="1:5" x14ac:dyDescent="0.2">
      <c r="A7265">
        <f t="shared" si="113"/>
        <v>7204</v>
      </c>
      <c r="B7265" s="138">
        <f>'Expenditures 15-22'!E17</f>
        <v>256</v>
      </c>
      <c r="D7265" s="2" t="str">
        <f t="shared" si="112"/>
        <v>Error?</v>
      </c>
    </row>
    <row r="7266" spans="1:5" x14ac:dyDescent="0.2">
      <c r="A7266">
        <f t="shared" si="113"/>
        <v>7205</v>
      </c>
      <c r="B7266" s="138">
        <f>'Expenditures 15-22'!F17</f>
        <v>390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420844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19102</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19102</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2516</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23</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7900</v>
      </c>
      <c r="D7712" s="2" t="str">
        <f t="shared" si="126"/>
        <v>Error?</v>
      </c>
      <c r="E7712" s="2" t="s">
        <v>880</v>
      </c>
    </row>
    <row r="7713" spans="1:6" x14ac:dyDescent="0.2">
      <c r="A7713">
        <v>7652</v>
      </c>
      <c r="B7713" s="138">
        <f>'Rest Tax Levies-Tort Im 25'!J8</f>
        <v>572</v>
      </c>
      <c r="D7713" s="2" t="str">
        <f t="shared" si="126"/>
        <v>Error?</v>
      </c>
      <c r="E7713" s="2" t="s">
        <v>880</v>
      </c>
    </row>
    <row r="7714" spans="1:6" x14ac:dyDescent="0.2">
      <c r="A7714">
        <v>7653</v>
      </c>
      <c r="B7714" s="138">
        <f>'Rest Tax Levies-Tort Im 25'!K9</f>
        <v>12923</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595</v>
      </c>
      <c r="D7718" s="2" t="str">
        <f t="shared" si="126"/>
        <v>Error?</v>
      </c>
      <c r="E7718" s="2" t="s">
        <v>880</v>
      </c>
    </row>
    <row r="7719" spans="1:6" x14ac:dyDescent="0.2">
      <c r="A7719">
        <v>7658</v>
      </c>
      <c r="B7719" s="138">
        <f>'Rest Tax Levies-Tort Im 25'!K12</f>
        <v>20823</v>
      </c>
      <c r="D7719" s="2" t="str">
        <f t="shared" si="126"/>
        <v>Error?</v>
      </c>
      <c r="E7719" s="2" t="s">
        <v>880</v>
      </c>
    </row>
    <row r="7720" spans="1:6" x14ac:dyDescent="0.2">
      <c r="A7720">
        <v>7659</v>
      </c>
      <c r="B7720" s="138">
        <f>'Rest Tax Levies-Tort Im 25'!H14</f>
        <v>43361</v>
      </c>
      <c r="D7720" s="2" t="str">
        <f t="shared" si="126"/>
        <v>Error?</v>
      </c>
      <c r="E7720" s="2" t="s">
        <v>880</v>
      </c>
    </row>
    <row r="7721" spans="1:6" x14ac:dyDescent="0.2">
      <c r="A7721">
        <v>7660</v>
      </c>
      <c r="B7721" s="138">
        <f>'Rest Tax Levies-Tort Im 25'!K14</f>
        <v>20823</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572</v>
      </c>
      <c r="D7731" s="2" t="str">
        <f t="shared" si="126"/>
        <v>Error?</v>
      </c>
      <c r="E7731" s="2" t="s">
        <v>880</v>
      </c>
    </row>
    <row r="7732" spans="1:6" x14ac:dyDescent="0.2">
      <c r="A7732">
        <v>7671</v>
      </c>
      <c r="B7732" s="138">
        <f>'Rest Tax Levies-Tort Im 25'!J24</f>
        <v>3111</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3111</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1000000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400000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444304</v>
      </c>
      <c r="D7797" s="2" t="str">
        <f t="shared" si="127"/>
        <v>Error?</v>
      </c>
      <c r="E7797" s="4" t="s">
        <v>2016</v>
      </c>
    </row>
    <row r="7798" spans="1:5" x14ac:dyDescent="0.2">
      <c r="A7798">
        <v>7737</v>
      </c>
      <c r="B7798" s="138">
        <f>'Contracts Paid in CY 29'!F141</f>
        <v>100000</v>
      </c>
      <c r="D7798" s="2" t="str">
        <f t="shared" si="127"/>
        <v>Error?</v>
      </c>
      <c r="E7798" s="4" t="s">
        <v>2016</v>
      </c>
    </row>
    <row r="7799" spans="1:5" x14ac:dyDescent="0.2">
      <c r="A7799">
        <v>7738</v>
      </c>
      <c r="B7799" s="138">
        <f>'Contracts Paid in CY 29'!G141</f>
        <v>344304</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7" zoomScale="110" zoomScaleNormal="110" workbookViewId="0">
      <selection activeCell="I22" sqref="I22:S2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8" t="s">
        <v>1252</v>
      </c>
      <c r="B2" s="2458"/>
      <c r="C2" s="2458"/>
      <c r="D2" s="2458"/>
      <c r="E2" s="2458"/>
      <c r="F2" s="2458"/>
      <c r="G2" s="2458"/>
      <c r="H2" s="2458"/>
      <c r="I2" s="2458"/>
      <c r="J2" s="2458"/>
      <c r="K2" s="2458"/>
      <c r="L2" s="2458"/>
    </row>
    <row r="3" spans="1:29" ht="13.5" customHeight="1" x14ac:dyDescent="0.2">
      <c r="A3" s="2444" t="s">
        <v>1251</v>
      </c>
      <c r="B3" s="2444"/>
      <c r="C3" s="2444"/>
      <c r="D3" s="2444"/>
      <c r="E3" s="2444"/>
      <c r="F3" s="2444"/>
      <c r="G3" s="2444"/>
      <c r="H3" s="2444"/>
      <c r="I3" s="2444"/>
      <c r="J3" s="2444"/>
      <c r="K3" s="2444"/>
      <c r="L3" s="2444"/>
    </row>
    <row r="4" spans="1:29" ht="13.5" customHeight="1" x14ac:dyDescent="0.2">
      <c r="A4" s="2458" t="s">
        <v>1798</v>
      </c>
      <c r="B4" s="2475"/>
      <c r="C4" s="2475"/>
      <c r="D4" s="2475"/>
      <c r="E4" s="2475"/>
      <c r="F4" s="2475"/>
      <c r="G4" s="2475"/>
      <c r="H4" s="2475"/>
      <c r="I4" s="2475"/>
      <c r="J4" s="2475"/>
      <c r="K4" s="2475"/>
      <c r="L4" s="247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8" t="str">
        <f>COVER!A17</f>
        <v>West Carroll CUSD 314</v>
      </c>
      <c r="B7" s="2439"/>
      <c r="C7" s="2439"/>
      <c r="D7" s="2476"/>
      <c r="E7" s="2477">
        <f>COVER!A13</f>
        <v>8008314026</v>
      </c>
      <c r="F7" s="2478"/>
      <c r="G7" s="2445" t="str">
        <f>COVER!T23</f>
        <v>066-004238</v>
      </c>
      <c r="H7" s="2446"/>
      <c r="I7" s="2446"/>
      <c r="J7" s="2446"/>
      <c r="K7" s="2446"/>
      <c r="L7" s="2447"/>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8"/>
      <c r="B9" s="2449"/>
      <c r="C9" s="2449"/>
      <c r="D9" s="2449"/>
      <c r="E9" s="2449"/>
      <c r="F9" s="2450"/>
      <c r="G9" s="2451" t="str">
        <f>COVER!T13</f>
        <v xml:space="preserve">Benning Group, LLC </v>
      </c>
      <c r="H9" s="2452"/>
      <c r="I9" s="2452"/>
      <c r="J9" s="2452"/>
      <c r="K9" s="2452"/>
      <c r="L9" s="2453"/>
    </row>
    <row r="10" spans="1:29" ht="13.5" customHeight="1" x14ac:dyDescent="0.2">
      <c r="A10" s="2435" t="str">
        <f>COVER!A38</f>
        <v>Julie Katzenberger</v>
      </c>
      <c r="B10" s="2436"/>
      <c r="C10" s="2436"/>
      <c r="D10" s="2436"/>
      <c r="E10" s="2436"/>
      <c r="F10" s="2437"/>
      <c r="G10" s="2451" t="str">
        <f>COVER!T17</f>
        <v>50 W. Douglas Street, Suite 801</v>
      </c>
      <c r="H10" s="2464"/>
      <c r="I10" s="2464"/>
      <c r="J10" s="2464"/>
      <c r="K10" s="2464"/>
      <c r="L10" s="2465"/>
    </row>
    <row r="11" spans="1:29" ht="13.5" customHeight="1" x14ac:dyDescent="0.2">
      <c r="A11" s="1185" t="s">
        <v>1598</v>
      </c>
      <c r="B11" s="1186"/>
      <c r="C11" s="1187"/>
      <c r="D11" s="1192"/>
      <c r="E11" s="1187"/>
      <c r="F11" s="1191"/>
      <c r="G11" s="2451" t="str">
        <f>COVER!T19</f>
        <v>Freeport</v>
      </c>
      <c r="H11" s="2464"/>
      <c r="I11" s="2464"/>
      <c r="J11" s="2464"/>
      <c r="K11" s="2464"/>
      <c r="L11" s="2465"/>
    </row>
    <row r="12" spans="1:29" ht="13.5" customHeight="1" x14ac:dyDescent="0.2">
      <c r="A12" s="2469" t="s">
        <v>1597</v>
      </c>
      <c r="B12" s="2470"/>
      <c r="C12" s="2470"/>
      <c r="D12" s="2470"/>
      <c r="E12" s="2470"/>
      <c r="F12" s="2471"/>
      <c r="G12" s="2466"/>
      <c r="H12" s="2467"/>
      <c r="I12" s="2467"/>
      <c r="J12" s="2467"/>
      <c r="K12" s="2467"/>
      <c r="L12" s="2468"/>
    </row>
    <row r="13" spans="1:29" ht="13.5" customHeight="1" x14ac:dyDescent="0.2">
      <c r="A13" s="2451"/>
      <c r="B13" s="2464"/>
      <c r="C13" s="2464"/>
      <c r="D13" s="2464"/>
      <c r="E13" s="2464"/>
      <c r="F13" s="2465"/>
      <c r="G13" s="2459" t="s">
        <v>1599</v>
      </c>
      <c r="H13" s="2460"/>
      <c r="I13" s="2472" t="str">
        <f>COVER!T25</f>
        <v>jblocker@benninggroup.com</v>
      </c>
      <c r="J13" s="2473"/>
      <c r="K13" s="2473"/>
      <c r="L13" s="2474"/>
    </row>
    <row r="14" spans="1:29" ht="13.5" customHeight="1" x14ac:dyDescent="0.2">
      <c r="A14" s="2451" t="str">
        <f>COVER!A19</f>
        <v xml:space="preserve">642 S. East Street </v>
      </c>
      <c r="B14" s="2464"/>
      <c r="C14" s="2464"/>
      <c r="D14" s="2464"/>
      <c r="E14" s="2464"/>
      <c r="F14" s="2465"/>
      <c r="G14" s="1196" t="s">
        <v>1246</v>
      </c>
      <c r="H14" s="1194"/>
      <c r="I14" s="1194"/>
      <c r="J14" s="1194"/>
      <c r="K14" s="1194"/>
      <c r="L14" s="1195"/>
    </row>
    <row r="15" spans="1:29" ht="13.5" customHeight="1" x14ac:dyDescent="0.2">
      <c r="A15" s="2451" t="str">
        <f>COVER!A21</f>
        <v xml:space="preserve">Mt. Carroll </v>
      </c>
      <c r="B15" s="2464"/>
      <c r="C15" s="2464"/>
      <c r="D15" s="2464"/>
      <c r="E15" s="2464"/>
      <c r="F15" s="2465"/>
      <c r="G15" s="2461" t="str">
        <f>COVER!T15</f>
        <v xml:space="preserve">Jenny L. Blocker </v>
      </c>
      <c r="H15" s="2462"/>
      <c r="I15" s="2462"/>
      <c r="J15" s="2462"/>
      <c r="K15" s="2462"/>
      <c r="L15" s="2463"/>
    </row>
    <row r="16" spans="1:29" ht="12.2" customHeight="1" x14ac:dyDescent="0.2">
      <c r="A16" s="2441">
        <f>COVER!A25</f>
        <v>61053</v>
      </c>
      <c r="B16" s="2442"/>
      <c r="C16" s="2442"/>
      <c r="D16" s="2442"/>
      <c r="E16" s="2442"/>
      <c r="F16" s="2443"/>
      <c r="G16" s="2454"/>
      <c r="H16" s="2455"/>
      <c r="I16" s="2455"/>
      <c r="J16" s="2455"/>
      <c r="K16" s="2455"/>
      <c r="L16" s="2456"/>
    </row>
    <row r="17" spans="1:13" ht="12.2" customHeight="1" x14ac:dyDescent="0.2">
      <c r="A17" s="2457"/>
      <c r="B17" s="2442"/>
      <c r="C17" s="2442"/>
      <c r="D17" s="2442"/>
      <c r="E17" s="2442"/>
      <c r="F17" s="2443"/>
      <c r="G17" s="1196" t="s">
        <v>1245</v>
      </c>
      <c r="H17" s="1194"/>
      <c r="I17" s="1194"/>
      <c r="J17" s="1194"/>
      <c r="K17" s="1198" t="s">
        <v>1244</v>
      </c>
      <c r="L17" s="1191"/>
      <c r="M17" s="1184"/>
    </row>
    <row r="18" spans="1:13" ht="12.2" customHeight="1" x14ac:dyDescent="0.2">
      <c r="A18" s="2435"/>
      <c r="B18" s="2436"/>
      <c r="C18" s="2436"/>
      <c r="D18" s="2436"/>
      <c r="E18" s="2436"/>
      <c r="F18" s="2437"/>
      <c r="G18" s="2438">
        <f>COVER!T21</f>
        <v>8152353157</v>
      </c>
      <c r="H18" s="2439"/>
      <c r="I18" s="2439"/>
      <c r="J18" s="2439"/>
      <c r="K18" s="2438">
        <f>COVER!X21</f>
        <v>8152353158</v>
      </c>
      <c r="L18" s="244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2073</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2073</v>
      </c>
      <c r="C26" s="1203" t="s">
        <v>1800</v>
      </c>
    </row>
    <row r="27" spans="1:13" s="1199" customFormat="1" ht="9" customHeight="1" x14ac:dyDescent="0.2">
      <c r="B27" s="1204"/>
      <c r="C27" s="1203"/>
    </row>
    <row r="28" spans="1:13" s="1199" customFormat="1" ht="12.2" customHeight="1" x14ac:dyDescent="0.2">
      <c r="A28" s="1206"/>
      <c r="B28" s="1202" t="s">
        <v>2073</v>
      </c>
      <c r="C28" s="1203" t="s">
        <v>1801</v>
      </c>
    </row>
    <row r="29" spans="1:13" s="1199" customFormat="1" ht="9" customHeight="1" x14ac:dyDescent="0.2">
      <c r="A29" s="1206"/>
      <c r="B29" s="1204"/>
      <c r="C29" s="1203"/>
    </row>
    <row r="30" spans="1:13" s="1199" customFormat="1" ht="12.2" customHeight="1" x14ac:dyDescent="0.2">
      <c r="B30" s="1202" t="s">
        <v>2073</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2073</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2073</v>
      </c>
      <c r="C38" s="1203" t="s">
        <v>1646</v>
      </c>
    </row>
    <row r="39" spans="1:8" ht="9" customHeight="1" x14ac:dyDescent="0.2">
      <c r="B39" s="1204"/>
      <c r="C39" s="1207"/>
    </row>
    <row r="40" spans="1:8" s="1199" customFormat="1" ht="13.5" customHeight="1" x14ac:dyDescent="0.2">
      <c r="B40" s="1202" t="s">
        <v>2073</v>
      </c>
      <c r="C40" s="1203" t="s">
        <v>1647</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t="s">
        <v>2073</v>
      </c>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03" zoomScale="125" zoomScaleNormal="125" workbookViewId="0">
      <selection activeCell="I22" sqref="I22:S2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9" t="str">
        <f>'Single Audit Cover'!A7</f>
        <v>West Carroll CUSD 314</v>
      </c>
      <c r="B1" s="2475"/>
      <c r="C1" s="2475"/>
      <c r="D1" s="2475"/>
    </row>
    <row r="2" spans="1:11" s="1215" customFormat="1" ht="12.75" x14ac:dyDescent="0.2">
      <c r="A2" s="2480">
        <f>'Single Audit Cover'!E7</f>
        <v>8008314026</v>
      </c>
      <c r="B2" s="2481"/>
      <c r="C2" s="2481"/>
      <c r="D2" s="2481"/>
    </row>
    <row r="3" spans="1:11" s="1215" customFormat="1" ht="12.75" x14ac:dyDescent="0.2">
      <c r="A3" s="2479" t="s">
        <v>1592</v>
      </c>
      <c r="B3" s="2475"/>
      <c r="C3" s="2475"/>
      <c r="D3" s="2475"/>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t="s">
        <v>2073</v>
      </c>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2073</v>
      </c>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2073</v>
      </c>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2073</v>
      </c>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2073</v>
      </c>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2073</v>
      </c>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t="s">
        <v>2073</v>
      </c>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t="s">
        <v>2073</v>
      </c>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t="s">
        <v>2073</v>
      </c>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t="s">
        <v>2088</v>
      </c>
      <c r="C42" s="1232">
        <v>11</v>
      </c>
      <c r="D42" s="1243" t="s">
        <v>1654</v>
      </c>
      <c r="E42" s="312"/>
    </row>
    <row r="43" spans="1:5" ht="3" customHeight="1" x14ac:dyDescent="0.2">
      <c r="A43" s="1222"/>
      <c r="B43" s="1239"/>
      <c r="C43" s="1240"/>
      <c r="D43" s="1221"/>
    </row>
    <row r="44" spans="1:5" x14ac:dyDescent="0.2">
      <c r="A44" s="1222"/>
      <c r="B44" s="1225" t="s">
        <v>2073</v>
      </c>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t="s">
        <v>2073</v>
      </c>
      <c r="C48" s="1226">
        <f>C44+1</f>
        <v>13</v>
      </c>
      <c r="D48" s="1237" t="s">
        <v>1655</v>
      </c>
    </row>
    <row r="49" spans="1:4" ht="3" customHeight="1" x14ac:dyDescent="0.2">
      <c r="A49" s="1222"/>
      <c r="B49" s="1229"/>
      <c r="C49" s="1226"/>
      <c r="D49" s="1237"/>
    </row>
    <row r="50" spans="1:4" x14ac:dyDescent="0.2">
      <c r="A50" s="1222"/>
      <c r="B50" s="1225" t="s">
        <v>2073</v>
      </c>
      <c r="C50" s="1226">
        <f>C48+1</f>
        <v>14</v>
      </c>
      <c r="D50" s="1237" t="s">
        <v>1273</v>
      </c>
    </row>
    <row r="51" spans="1:4" ht="3" customHeight="1" x14ac:dyDescent="0.2">
      <c r="A51" s="1222"/>
      <c r="B51" s="1229"/>
      <c r="C51" s="1226"/>
      <c r="D51" s="1237"/>
    </row>
    <row r="52" spans="1:4" x14ac:dyDescent="0.2">
      <c r="A52" s="1222"/>
      <c r="B52" s="1225" t="s">
        <v>2073</v>
      </c>
      <c r="C52" s="1226">
        <f>C50+1</f>
        <v>15</v>
      </c>
      <c r="D52" s="1237" t="s">
        <v>1272</v>
      </c>
    </row>
    <row r="53" spans="1:4" ht="3" customHeight="1" x14ac:dyDescent="0.2">
      <c r="A53" s="1222"/>
      <c r="B53" s="1229"/>
      <c r="C53" s="1226"/>
      <c r="D53" s="1237"/>
    </row>
    <row r="54" spans="1:4" x14ac:dyDescent="0.2">
      <c r="A54" s="1222"/>
      <c r="B54" s="1225" t="s">
        <v>2073</v>
      </c>
      <c r="C54" s="1226">
        <f>C52+1</f>
        <v>16</v>
      </c>
      <c r="D54" s="1237" t="s">
        <v>1271</v>
      </c>
    </row>
    <row r="55" spans="1:4" ht="3" customHeight="1" x14ac:dyDescent="0.2">
      <c r="A55" s="1222"/>
      <c r="B55" s="1229"/>
      <c r="C55" s="1226"/>
      <c r="D55" s="1237"/>
    </row>
    <row r="56" spans="1:4" x14ac:dyDescent="0.2">
      <c r="A56" s="1222"/>
      <c r="B56" s="1225" t="s">
        <v>2073</v>
      </c>
      <c r="C56" s="1226">
        <f>C54+1</f>
        <v>17</v>
      </c>
      <c r="D56" s="1221" t="s">
        <v>1810</v>
      </c>
    </row>
    <row r="57" spans="1:4" ht="10.5" customHeight="1" x14ac:dyDescent="0.2">
      <c r="A57" s="1222"/>
      <c r="D57" s="1237" t="s">
        <v>1811</v>
      </c>
    </row>
    <row r="58" spans="1:4" x14ac:dyDescent="0.2">
      <c r="A58" s="1222"/>
      <c r="C58" s="1244" t="s">
        <v>2073</v>
      </c>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t="s">
        <v>2088</v>
      </c>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t="s">
        <v>2073</v>
      </c>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t="s">
        <v>2088</v>
      </c>
      <c r="D69" s="1237" t="s">
        <v>1815</v>
      </c>
    </row>
    <row r="70" spans="1:4" x14ac:dyDescent="0.2">
      <c r="A70" s="1222"/>
      <c r="D70" s="1246" t="s">
        <v>1267</v>
      </c>
    </row>
    <row r="71" spans="1:4" ht="3" customHeight="1" x14ac:dyDescent="0.2">
      <c r="A71" s="1222"/>
      <c r="D71" s="1221"/>
    </row>
    <row r="72" spans="1:4" x14ac:dyDescent="0.2">
      <c r="A72" s="1222"/>
      <c r="B72" s="1225" t="s">
        <v>2073</v>
      </c>
      <c r="C72" s="1226">
        <f>C56+1</f>
        <v>18</v>
      </c>
      <c r="D72" s="1247" t="s">
        <v>1816</v>
      </c>
    </row>
    <row r="73" spans="1:4" ht="3" customHeight="1" x14ac:dyDescent="0.2">
      <c r="A73" s="1222"/>
      <c r="B73" s="1229"/>
      <c r="C73" s="1226"/>
      <c r="D73" s="1247"/>
    </row>
    <row r="74" spans="1:4" x14ac:dyDescent="0.2">
      <c r="A74" s="1222"/>
      <c r="B74" s="1225" t="s">
        <v>2073</v>
      </c>
      <c r="C74" s="1226">
        <f>C72+1</f>
        <v>19</v>
      </c>
      <c r="D74" s="1237" t="s">
        <v>1266</v>
      </c>
    </row>
    <row r="75" spans="1:4" ht="3" customHeight="1" x14ac:dyDescent="0.2">
      <c r="A75" s="1222"/>
      <c r="B75" s="1229"/>
      <c r="C75" s="1226"/>
      <c r="D75" s="1237"/>
    </row>
    <row r="76" spans="1:4" x14ac:dyDescent="0.2">
      <c r="A76" s="1222"/>
      <c r="B76" s="1225" t="s">
        <v>2073</v>
      </c>
      <c r="C76" s="1226">
        <f>C74+1</f>
        <v>20</v>
      </c>
      <c r="D76" s="1248" t="s">
        <v>1817</v>
      </c>
    </row>
    <row r="77" spans="1:4" ht="3" customHeight="1" x14ac:dyDescent="0.2">
      <c r="A77" s="1222"/>
      <c r="B77" s="1229"/>
      <c r="C77" s="1226"/>
      <c r="D77" s="1248"/>
    </row>
    <row r="78" spans="1:4" x14ac:dyDescent="0.2">
      <c r="A78" s="1222"/>
      <c r="B78" s="1225" t="s">
        <v>2073</v>
      </c>
      <c r="C78" s="1226">
        <f>C76+1</f>
        <v>21</v>
      </c>
      <c r="D78" s="1221" t="s">
        <v>1818</v>
      </c>
    </row>
    <row r="79" spans="1:4" ht="3" customHeight="1" x14ac:dyDescent="0.2">
      <c r="A79" s="1222"/>
      <c r="B79" s="1229"/>
      <c r="C79" s="1226"/>
      <c r="D79" s="1221"/>
    </row>
    <row r="80" spans="1:4" x14ac:dyDescent="0.2">
      <c r="A80" s="1222"/>
      <c r="B80" s="1225" t="s">
        <v>2073</v>
      </c>
      <c r="C80" s="1226">
        <f>C78+1</f>
        <v>22</v>
      </c>
      <c r="D80" s="1249" t="s">
        <v>1819</v>
      </c>
    </row>
    <row r="81" spans="1:4" ht="3" customHeight="1" x14ac:dyDescent="0.2">
      <c r="A81" s="1222"/>
      <c r="B81" s="1229"/>
      <c r="C81" s="1226"/>
      <c r="D81" s="1249"/>
    </row>
    <row r="82" spans="1:4" x14ac:dyDescent="0.2">
      <c r="A82" s="1222"/>
      <c r="B82" s="1225" t="s">
        <v>2073</v>
      </c>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t="s">
        <v>2073</v>
      </c>
      <c r="C85" s="1226">
        <f>C82+1</f>
        <v>24</v>
      </c>
      <c r="D85" s="1237" t="s">
        <v>1264</v>
      </c>
    </row>
    <row r="86" spans="1:4" ht="3" customHeight="1" x14ac:dyDescent="0.2">
      <c r="A86" s="1222"/>
      <c r="B86" s="1229"/>
      <c r="C86" s="1226"/>
      <c r="D86" s="1237"/>
    </row>
    <row r="87" spans="1:4" x14ac:dyDescent="0.2">
      <c r="A87" s="1222"/>
      <c r="B87" s="1225" t="s">
        <v>2073</v>
      </c>
      <c r="C87" s="1226">
        <f>C85+1</f>
        <v>25</v>
      </c>
      <c r="D87" s="1237" t="s">
        <v>1263</v>
      </c>
    </row>
    <row r="88" spans="1:4" ht="3" customHeight="1" x14ac:dyDescent="0.2">
      <c r="A88" s="1222"/>
      <c r="B88" s="1229"/>
      <c r="C88" s="1226"/>
      <c r="D88" s="1237"/>
    </row>
    <row r="89" spans="1:4" x14ac:dyDescent="0.2">
      <c r="A89" s="1222"/>
      <c r="B89" s="1225" t="s">
        <v>2073</v>
      </c>
      <c r="C89" s="1226">
        <f>C87+1</f>
        <v>26</v>
      </c>
      <c r="D89" s="1237" t="s">
        <v>1262</v>
      </c>
    </row>
    <row r="90" spans="1:4" ht="3" customHeight="1" x14ac:dyDescent="0.2">
      <c r="A90" s="1222"/>
      <c r="B90" s="1229"/>
      <c r="C90" s="1226"/>
      <c r="D90" s="1237"/>
    </row>
    <row r="91" spans="1:4" x14ac:dyDescent="0.2">
      <c r="A91" s="1222"/>
      <c r="B91" s="1225" t="s">
        <v>2088</v>
      </c>
      <c r="C91" s="1226">
        <f>C89+1</f>
        <v>27</v>
      </c>
      <c r="D91" s="1237" t="s">
        <v>1821</v>
      </c>
    </row>
    <row r="92" spans="1:4" x14ac:dyDescent="0.2">
      <c r="A92" s="1222"/>
      <c r="B92" s="1250"/>
      <c r="C92" s="1244" t="s">
        <v>2088</v>
      </c>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t="s">
        <v>2073</v>
      </c>
      <c r="C96" s="1226">
        <f>C91+1</f>
        <v>28</v>
      </c>
      <c r="D96" s="1237" t="s">
        <v>1822</v>
      </c>
    </row>
    <row r="97" spans="1:4" ht="3" customHeight="1" x14ac:dyDescent="0.2">
      <c r="A97" s="1222"/>
      <c r="B97" s="1229"/>
      <c r="C97" s="1226"/>
      <c r="D97" s="1237"/>
    </row>
    <row r="98" spans="1:4" x14ac:dyDescent="0.2">
      <c r="A98" s="1222"/>
      <c r="B98" s="1225" t="s">
        <v>2073</v>
      </c>
      <c r="C98" s="1226">
        <f>C96+1</f>
        <v>29</v>
      </c>
      <c r="D98" s="1251" t="s">
        <v>1823</v>
      </c>
    </row>
    <row r="99" spans="1:4" ht="3" customHeight="1" x14ac:dyDescent="0.2">
      <c r="A99" s="1222"/>
      <c r="B99" s="1229"/>
      <c r="C99" s="1226"/>
      <c r="D99" s="1251"/>
    </row>
    <row r="100" spans="1:4" x14ac:dyDescent="0.2">
      <c r="A100" s="1222"/>
      <c r="B100" s="1225" t="s">
        <v>2073</v>
      </c>
      <c r="C100" s="1226">
        <f>C98+1</f>
        <v>30</v>
      </c>
      <c r="D100" s="1237" t="s">
        <v>1824</v>
      </c>
    </row>
    <row r="101" spans="1:4" ht="3" customHeight="1" x14ac:dyDescent="0.2">
      <c r="A101" s="1222"/>
      <c r="B101" s="1229"/>
      <c r="C101" s="1226"/>
      <c r="D101" s="1252"/>
    </row>
    <row r="102" spans="1:4" x14ac:dyDescent="0.2">
      <c r="A102" s="1222"/>
      <c r="B102" s="1225" t="s">
        <v>2073</v>
      </c>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t="s">
        <v>2073</v>
      </c>
      <c r="C106" s="1226">
        <f>C102+1</f>
        <v>32</v>
      </c>
      <c r="D106" s="1221" t="s">
        <v>1660</v>
      </c>
    </row>
    <row r="107" spans="1:4" ht="3" customHeight="1" x14ac:dyDescent="0.2">
      <c r="A107" s="1222"/>
      <c r="B107" s="1229"/>
      <c r="C107" s="1226"/>
      <c r="D107" s="1221"/>
    </row>
    <row r="108" spans="1:4" x14ac:dyDescent="0.2">
      <c r="A108" s="1222"/>
      <c r="B108" s="1225" t="s">
        <v>2073</v>
      </c>
      <c r="C108" s="1226">
        <v>33</v>
      </c>
      <c r="D108" s="1221" t="s">
        <v>1825</v>
      </c>
    </row>
    <row r="109" spans="1:4" ht="3" customHeight="1" x14ac:dyDescent="0.2">
      <c r="A109" s="1222"/>
      <c r="B109" s="1229"/>
      <c r="C109" s="1226"/>
      <c r="D109" s="1221"/>
    </row>
    <row r="110" spans="1:4" x14ac:dyDescent="0.2">
      <c r="A110" s="1222"/>
      <c r="B110" s="1225" t="s">
        <v>2073</v>
      </c>
      <c r="C110" s="1226">
        <f>C108+1</f>
        <v>34</v>
      </c>
      <c r="D110" s="1221" t="s">
        <v>1259</v>
      </c>
    </row>
    <row r="111" spans="1:4" ht="3" customHeight="1" x14ac:dyDescent="0.2">
      <c r="A111" s="1222"/>
      <c r="B111" s="1229"/>
      <c r="C111" s="1226"/>
      <c r="D111" s="1221"/>
    </row>
    <row r="112" spans="1:4" x14ac:dyDescent="0.2">
      <c r="A112" s="1222"/>
      <c r="B112" s="1225" t="s">
        <v>2073</v>
      </c>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t="s">
        <v>2073</v>
      </c>
      <c r="C115" s="1226">
        <f>C112+1</f>
        <v>36</v>
      </c>
      <c r="D115" s="1237" t="s">
        <v>1256</v>
      </c>
    </row>
    <row r="116" spans="1:4" ht="3" customHeight="1" x14ac:dyDescent="0.2">
      <c r="A116" s="1222"/>
      <c r="B116" s="1229"/>
      <c r="C116" s="1226"/>
      <c r="D116" s="1237"/>
    </row>
    <row r="117" spans="1:4" x14ac:dyDescent="0.2">
      <c r="A117" s="1222"/>
      <c r="B117" s="1225" t="s">
        <v>2073</v>
      </c>
      <c r="C117" s="1226">
        <f>C115+1</f>
        <v>37</v>
      </c>
      <c r="D117" s="1237" t="s">
        <v>1826</v>
      </c>
    </row>
    <row r="118" spans="1:4" ht="3" customHeight="1" x14ac:dyDescent="0.2">
      <c r="A118" s="1222"/>
      <c r="B118" s="1229"/>
      <c r="C118" s="1226"/>
      <c r="D118" s="1237"/>
    </row>
    <row r="119" spans="1:4" x14ac:dyDescent="0.2">
      <c r="A119" s="1222"/>
      <c r="B119" s="1225" t="s">
        <v>2088</v>
      </c>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t="s">
        <v>2073</v>
      </c>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3" t="str">
        <f>'Single Audit Cover'!A7</f>
        <v>West Carroll CUSD 314</v>
      </c>
      <c r="B1" s="2483"/>
      <c r="C1" s="2483"/>
      <c r="D1" s="2483"/>
      <c r="E1" s="2483"/>
    </row>
    <row r="2" spans="1:5" x14ac:dyDescent="0.2">
      <c r="A2" s="2484">
        <f>'Single Audit Cover'!E7</f>
        <v>8008314026</v>
      </c>
      <c r="B2" s="2484"/>
      <c r="C2" s="2484"/>
      <c r="D2" s="2484"/>
      <c r="E2" s="2484"/>
    </row>
    <row r="3" spans="1:5" ht="4.5" customHeight="1" x14ac:dyDescent="0.2"/>
    <row r="4" spans="1:5" x14ac:dyDescent="0.2">
      <c r="A4" s="2483" t="s">
        <v>1306</v>
      </c>
      <c r="B4" s="2483"/>
      <c r="C4" s="2483"/>
      <c r="D4" s="2483"/>
      <c r="E4" s="2483"/>
    </row>
    <row r="5" spans="1:5" x14ac:dyDescent="0.2">
      <c r="A5" s="2486" t="str">
        <f>'Single Audit Cover'!A4</f>
        <v>Year Ending June 30, 2018</v>
      </c>
      <c r="B5" s="2486"/>
      <c r="C5" s="2486"/>
      <c r="D5" s="2486"/>
      <c r="E5" s="2486"/>
    </row>
    <row r="6" spans="1:5" x14ac:dyDescent="0.2">
      <c r="A6" s="2483" t="s">
        <v>1305</v>
      </c>
      <c r="B6" s="2483"/>
      <c r="C6" s="2483"/>
      <c r="D6" s="2483"/>
      <c r="E6" s="2483"/>
    </row>
    <row r="8" spans="1:5" x14ac:dyDescent="0.2">
      <c r="A8" s="1260" t="s">
        <v>1304</v>
      </c>
    </row>
    <row r="10" spans="1:5" x14ac:dyDescent="0.2">
      <c r="A10" s="1261" t="s">
        <v>1303</v>
      </c>
      <c r="B10" s="1262" t="s">
        <v>1302</v>
      </c>
      <c r="C10" s="1262"/>
      <c r="D10" s="1263">
        <f>SUM('Acct Summary 7-8'!C7:K7)</f>
        <v>1445024</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51929</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-96055</v>
      </c>
    </row>
    <row r="19" spans="1:4" ht="13.5" thickBot="1" x14ac:dyDescent="0.25">
      <c r="A19" s="1265" t="s">
        <v>1296</v>
      </c>
      <c r="D19" s="1266">
        <f>SUM(D10:D17)</f>
        <v>1400898</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85"/>
      <c r="B24" s="2485"/>
      <c r="D24" s="1268"/>
    </row>
    <row r="25" spans="1:4" x14ac:dyDescent="0.2">
      <c r="A25" s="2482"/>
      <c r="B25" s="2482"/>
      <c r="D25" s="1268"/>
    </row>
    <row r="26" spans="1:4" x14ac:dyDescent="0.2">
      <c r="A26" s="2482"/>
      <c r="B26" s="2482"/>
      <c r="D26" s="1268"/>
    </row>
    <row r="27" spans="1:4" x14ac:dyDescent="0.2">
      <c r="A27" s="2482"/>
      <c r="B27" s="2482"/>
      <c r="D27" s="1268"/>
    </row>
    <row r="28" spans="1:4" x14ac:dyDescent="0.2">
      <c r="A28" s="2482"/>
      <c r="B28" s="2482"/>
      <c r="D28" s="1268"/>
    </row>
    <row r="29" spans="1:4" x14ac:dyDescent="0.2">
      <c r="A29" s="2482"/>
      <c r="B29" s="2482"/>
      <c r="D29" s="1268"/>
    </row>
    <row r="30" spans="1:4" x14ac:dyDescent="0.2">
      <c r="A30" s="2482"/>
      <c r="B30" s="2482"/>
      <c r="D30" s="1268"/>
    </row>
    <row r="32" spans="1:4" x14ac:dyDescent="0.2">
      <c r="A32" s="1260" t="s">
        <v>1294</v>
      </c>
      <c r="D32" s="1263">
        <f>SUM(D19:D30)</f>
        <v>1400898</v>
      </c>
    </row>
    <row r="33" spans="1:4" x14ac:dyDescent="0.2">
      <c r="D33" s="1269"/>
    </row>
    <row r="34" spans="1:4" x14ac:dyDescent="0.2">
      <c r="A34" s="317" t="s">
        <v>1293</v>
      </c>
    </row>
    <row r="35" spans="1:4" x14ac:dyDescent="0.2">
      <c r="A35" s="317" t="s">
        <v>1292</v>
      </c>
      <c r="B35" s="1258" t="s">
        <v>1291</v>
      </c>
      <c r="D35" s="1270">
        <v>1400898</v>
      </c>
    </row>
    <row r="37" spans="1:4" x14ac:dyDescent="0.2">
      <c r="A37" s="1260" t="s">
        <v>1290</v>
      </c>
    </row>
    <row r="39" spans="1:4" ht="13.35" customHeight="1" x14ac:dyDescent="0.2">
      <c r="A39" s="1267" t="s">
        <v>1289</v>
      </c>
    </row>
    <row r="40" spans="1:4" x14ac:dyDescent="0.2">
      <c r="A40" s="2482"/>
      <c r="B40" s="2482"/>
      <c r="D40" s="1268"/>
    </row>
    <row r="41" spans="1:4" x14ac:dyDescent="0.2">
      <c r="A41" s="2482"/>
      <c r="B41" s="2482"/>
      <c r="D41" s="1271"/>
    </row>
    <row r="42" spans="1:4" x14ac:dyDescent="0.2">
      <c r="A42" s="2482"/>
      <c r="B42" s="2482"/>
      <c r="D42" s="1271"/>
    </row>
    <row r="43" spans="1:4" x14ac:dyDescent="0.2">
      <c r="A43" s="2482"/>
      <c r="B43" s="2482"/>
      <c r="D43" s="1271"/>
    </row>
    <row r="44" spans="1:4" x14ac:dyDescent="0.2">
      <c r="A44" s="2482"/>
      <c r="B44" s="2482"/>
      <c r="D44" s="1271"/>
    </row>
    <row r="45" spans="1:4" x14ac:dyDescent="0.2">
      <c r="A45" s="2482"/>
      <c r="B45" s="2482"/>
      <c r="D45" s="1271"/>
    </row>
    <row r="47" spans="1:4" x14ac:dyDescent="0.2">
      <c r="B47" s="1272" t="s">
        <v>1288</v>
      </c>
      <c r="C47" s="1272"/>
      <c r="D47" s="1273">
        <f>SUM(D35:D45)</f>
        <v>1400898</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0" zoomScale="120" zoomScaleNormal="120" workbookViewId="0">
      <selection activeCell="I22" sqref="I22:S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8" t="str">
        <f>'Single Audit Cover'!A7</f>
        <v>West Carroll CUSD 314</v>
      </c>
      <c r="B1" s="2488"/>
      <c r="C1" s="2488"/>
      <c r="D1" s="2488"/>
      <c r="E1" s="2488"/>
      <c r="F1" s="2488"/>
    </row>
    <row r="2" spans="1:7" ht="13.5" customHeight="1" x14ac:dyDescent="0.2">
      <c r="A2" s="2489">
        <f>'Single Audit Cover'!E7</f>
        <v>8008314026</v>
      </c>
      <c r="B2" s="2489"/>
      <c r="C2" s="2489"/>
      <c r="D2" s="2489"/>
      <c r="E2" s="2489"/>
      <c r="F2" s="2489"/>
      <c r="G2" s="1275"/>
    </row>
    <row r="3" spans="1:7" ht="15.75" customHeight="1" x14ac:dyDescent="0.2">
      <c r="A3" s="2490" t="s">
        <v>1332</v>
      </c>
      <c r="B3" s="2490"/>
      <c r="C3" s="2490"/>
      <c r="D3" s="2490"/>
      <c r="E3" s="2490"/>
      <c r="F3" s="2490"/>
    </row>
    <row r="4" spans="1:7" ht="13.5" customHeight="1" x14ac:dyDescent="0.2">
      <c r="A4" s="2491" t="str">
        <f>'Single Audit Cover'!A4</f>
        <v>Year Ending June 30, 2018</v>
      </c>
      <c r="B4" s="2491"/>
      <c r="C4" s="2491"/>
      <c r="D4" s="2491"/>
      <c r="E4" s="2491"/>
      <c r="F4" s="2491"/>
    </row>
    <row r="5" spans="1:7" ht="8.25" customHeight="1" x14ac:dyDescent="0.2">
      <c r="C5" s="317"/>
      <c r="D5" s="317"/>
    </row>
    <row r="6" spans="1:7" ht="13.5" customHeight="1" x14ac:dyDescent="0.2">
      <c r="A6" s="1276" t="s">
        <v>1830</v>
      </c>
      <c r="C6" s="317"/>
      <c r="D6" s="317"/>
    </row>
    <row r="7" spans="1:7" ht="60.95" customHeight="1" x14ac:dyDescent="0.2">
      <c r="A7" s="2487" t="s">
        <v>2089</v>
      </c>
      <c r="B7" s="2487"/>
      <c r="C7" s="2487"/>
      <c r="D7" s="2487"/>
      <c r="E7" s="2487"/>
      <c r="F7" s="2487"/>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22.5" customHeight="1" x14ac:dyDescent="0.2">
      <c r="A13" s="2487" t="s">
        <v>2247</v>
      </c>
      <c r="B13" s="2487"/>
      <c r="C13" s="2487"/>
      <c r="D13" s="2487"/>
      <c r="E13" s="2487"/>
      <c r="F13" s="2487"/>
    </row>
    <row r="14" spans="1:7" ht="9.75" customHeight="1" x14ac:dyDescent="0.2">
      <c r="C14" s="1260"/>
      <c r="D14" s="1260"/>
    </row>
    <row r="15" spans="1:7" ht="13.5" customHeight="1" x14ac:dyDescent="0.2">
      <c r="C15" s="1871" t="s">
        <v>1331</v>
      </c>
      <c r="D15" s="2493" t="s">
        <v>1330</v>
      </c>
      <c r="E15" s="2493"/>
      <c r="F15" s="2493"/>
    </row>
    <row r="16" spans="1:7" ht="13.5" customHeight="1" x14ac:dyDescent="0.2">
      <c r="A16" s="1282"/>
      <c r="B16" s="1276" t="s">
        <v>1329</v>
      </c>
      <c r="C16" s="1871" t="s">
        <v>1328</v>
      </c>
      <c r="D16" s="2494" t="s">
        <v>1669</v>
      </c>
      <c r="E16" s="2494"/>
      <c r="F16" s="2494"/>
    </row>
    <row r="17" spans="1:6" ht="20.45" customHeight="1" x14ac:dyDescent="0.2">
      <c r="A17" s="1283"/>
      <c r="B17" s="1284" t="s">
        <v>2090</v>
      </c>
      <c r="C17" s="1285"/>
      <c r="D17" s="2492"/>
      <c r="E17" s="2492"/>
      <c r="F17" s="2492"/>
    </row>
    <row r="18" spans="1:6" ht="20.65" customHeight="1" x14ac:dyDescent="0.2">
      <c r="A18" s="1283"/>
      <c r="B18" s="1284"/>
      <c r="C18" s="1285"/>
      <c r="D18" s="2492"/>
      <c r="E18" s="2492"/>
      <c r="F18" s="2492"/>
    </row>
    <row r="19" spans="1:6" ht="20.65" customHeight="1" x14ac:dyDescent="0.2">
      <c r="A19" s="1283"/>
      <c r="B19" s="1284"/>
      <c r="C19" s="1285"/>
      <c r="D19" s="2492"/>
      <c r="E19" s="2492"/>
      <c r="F19" s="2492"/>
    </row>
    <row r="20" spans="1:6" ht="20.65" customHeight="1" x14ac:dyDescent="0.2">
      <c r="A20" s="1283"/>
      <c r="B20" s="1284"/>
      <c r="C20" s="1285"/>
      <c r="D20" s="2492"/>
      <c r="E20" s="2492"/>
      <c r="F20" s="2492"/>
    </row>
    <row r="21" spans="1:6" ht="20.65" customHeight="1" x14ac:dyDescent="0.2">
      <c r="A21" s="1283"/>
      <c r="B21" s="1284"/>
      <c r="C21" s="1285"/>
      <c r="D21" s="2492"/>
      <c r="E21" s="2492"/>
      <c r="F21" s="2492"/>
    </row>
    <row r="22" spans="1:6" ht="20.65" customHeight="1" x14ac:dyDescent="0.2">
      <c r="A22" s="1283"/>
      <c r="B22" s="1284"/>
      <c r="C22" s="1285"/>
      <c r="D22" s="2492"/>
      <c r="E22" s="2492"/>
      <c r="F22" s="2492"/>
    </row>
    <row r="23" spans="1:6" ht="20.65" customHeight="1" x14ac:dyDescent="0.2">
      <c r="A23" s="1283"/>
      <c r="B23" s="1284"/>
      <c r="C23" s="1285"/>
      <c r="D23" s="2492"/>
      <c r="E23" s="2492"/>
      <c r="F23" s="2492"/>
    </row>
    <row r="24" spans="1:6" ht="20.65" customHeight="1" x14ac:dyDescent="0.2">
      <c r="A24" s="1283"/>
      <c r="B24" s="1284"/>
      <c r="C24" s="1285"/>
      <c r="D24" s="2492"/>
      <c r="E24" s="2492"/>
      <c r="F24" s="2492"/>
    </row>
    <row r="25" spans="1:6" ht="20.65" customHeight="1" x14ac:dyDescent="0.2">
      <c r="A25" s="1283"/>
      <c r="B25" s="1284"/>
      <c r="C25" s="1285"/>
      <c r="D25" s="2492"/>
      <c r="E25" s="2492"/>
      <c r="F25" s="2492"/>
    </row>
    <row r="26" spans="1:6" ht="20.65" customHeight="1" x14ac:dyDescent="0.2">
      <c r="A26" s="1283"/>
      <c r="B26" s="1284"/>
      <c r="C26" s="1285"/>
      <c r="D26" s="2492"/>
      <c r="E26" s="2492"/>
      <c r="F26" s="2492"/>
    </row>
    <row r="27" spans="1:6" ht="20.65" customHeight="1" x14ac:dyDescent="0.2">
      <c r="A27" s="1283"/>
      <c r="B27" s="1284"/>
      <c r="C27" s="1285"/>
      <c r="D27" s="2492"/>
      <c r="E27" s="2492"/>
      <c r="F27" s="2492"/>
    </row>
    <row r="28" spans="1:6" ht="20.65" customHeight="1" x14ac:dyDescent="0.2">
      <c r="A28" s="1283"/>
      <c r="B28" s="1284"/>
      <c r="C28" s="1285"/>
      <c r="D28" s="2492"/>
      <c r="E28" s="2492"/>
      <c r="F28" s="2492"/>
    </row>
    <row r="29" spans="1:6" ht="20.65" customHeight="1" x14ac:dyDescent="0.2">
      <c r="A29" s="1283"/>
      <c r="B29" s="1284"/>
      <c r="C29" s="1285"/>
      <c r="D29" s="2492"/>
      <c r="E29" s="2492"/>
      <c r="F29" s="2492"/>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96" t="s">
        <v>2091</v>
      </c>
      <c r="B32" s="2496"/>
      <c r="C32" s="2496"/>
      <c r="D32" s="2496"/>
      <c r="E32" s="2496"/>
      <c r="F32" s="2496"/>
    </row>
    <row r="33" spans="1:6" ht="13.5" customHeight="1" x14ac:dyDescent="0.2">
      <c r="A33" s="328" t="s">
        <v>1508</v>
      </c>
      <c r="B33" s="328"/>
      <c r="C33" s="1288">
        <v>51929</v>
      </c>
      <c r="D33" s="1928"/>
      <c r="E33" s="1286"/>
    </row>
    <row r="34" spans="1:6" ht="13.5" customHeight="1" x14ac:dyDescent="0.2">
      <c r="A34" s="328" t="s">
        <v>1945</v>
      </c>
      <c r="B34" s="328"/>
      <c r="C34" s="1289">
        <v>0</v>
      </c>
      <c r="D34" s="1928" t="s">
        <v>1670</v>
      </c>
      <c r="E34" s="2497">
        <f>+C33+C34</f>
        <v>51929</v>
      </c>
      <c r="F34" s="2498"/>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400</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9" t="s">
        <v>1671</v>
      </c>
      <c r="C49" s="2499"/>
      <c r="D49" s="2499"/>
      <c r="E49" s="1399"/>
    </row>
    <row r="50" spans="1:5" s="1300" customFormat="1" ht="3.75" customHeight="1" x14ac:dyDescent="0.2">
      <c r="A50" s="1299"/>
      <c r="B50" s="1870"/>
      <c r="C50" s="1870"/>
      <c r="D50" s="1870"/>
      <c r="E50" s="1399"/>
    </row>
    <row r="51" spans="1:5" s="1300" customFormat="1" ht="20.25" customHeight="1" x14ac:dyDescent="0.2">
      <c r="A51" s="1301">
        <v>6</v>
      </c>
      <c r="B51" s="2495" t="s">
        <v>1631</v>
      </c>
      <c r="C51" s="2495"/>
      <c r="D51" s="2495"/>
    </row>
    <row r="52" spans="1:5" ht="14.25" customHeight="1" x14ac:dyDescent="0.2">
      <c r="A52" s="1301"/>
      <c r="B52" s="2495"/>
      <c r="C52" s="2495"/>
      <c r="D52" s="249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3"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4" t="str">
        <f>'Single Audit Cover'!A7</f>
        <v>West Carroll CUSD 314</v>
      </c>
      <c r="C1" s="2500"/>
      <c r="D1" s="2500"/>
      <c r="E1" s="2500"/>
      <c r="F1" s="2500"/>
      <c r="G1" s="2500"/>
      <c r="H1" s="2500"/>
      <c r="I1" s="2500"/>
      <c r="J1" s="2500"/>
      <c r="K1" s="2500"/>
      <c r="L1" s="2500"/>
      <c r="M1" s="2500"/>
    </row>
    <row r="2" spans="2:14" ht="15" x14ac:dyDescent="0.2">
      <c r="B2" s="2489">
        <f>'Single Audit Cover'!E7</f>
        <v>8008314026</v>
      </c>
      <c r="C2" s="2489"/>
      <c r="D2" s="2489"/>
      <c r="E2" s="2489"/>
      <c r="F2" s="2489"/>
      <c r="G2" s="2489"/>
      <c r="H2" s="2489"/>
      <c r="I2" s="2489"/>
      <c r="J2" s="2489"/>
      <c r="K2" s="2489"/>
      <c r="L2" s="2489"/>
      <c r="M2" s="2489"/>
      <c r="N2" s="1302"/>
    </row>
    <row r="3" spans="2:14" ht="15" x14ac:dyDescent="0.2">
      <c r="B3" s="2501" t="s">
        <v>1280</v>
      </c>
      <c r="C3" s="2501"/>
      <c r="D3" s="2501"/>
      <c r="E3" s="2501"/>
      <c r="F3" s="2501"/>
      <c r="G3" s="2501"/>
      <c r="H3" s="2501"/>
      <c r="I3" s="2501"/>
      <c r="J3" s="2501"/>
      <c r="K3" s="2501"/>
      <c r="L3" s="2501"/>
      <c r="M3" s="2501"/>
      <c r="N3" s="1302"/>
    </row>
    <row r="4" spans="2:14" ht="15" x14ac:dyDescent="0.2">
      <c r="B4" s="2502" t="str">
        <f>'Single Audit Cover'!A4</f>
        <v>Year Ending June 30, 2018</v>
      </c>
      <c r="C4" s="2502"/>
      <c r="D4" s="2502"/>
      <c r="E4" s="2502"/>
      <c r="F4" s="2502"/>
      <c r="G4" s="2502"/>
      <c r="H4" s="2502"/>
      <c r="I4" s="2502"/>
      <c r="J4" s="2502"/>
      <c r="K4" s="2502"/>
      <c r="L4" s="2502"/>
      <c r="M4" s="250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2092</v>
      </c>
      <c r="C11" s="1338"/>
      <c r="D11" s="1339"/>
      <c r="E11" s="1340"/>
      <c r="F11" s="1340"/>
      <c r="G11" s="1340"/>
      <c r="H11" s="1340"/>
      <c r="I11" s="1340"/>
      <c r="J11" s="1340"/>
      <c r="K11" s="1340"/>
      <c r="L11" s="1340">
        <f>+G11+I11+K11</f>
        <v>0</v>
      </c>
      <c r="M11" s="1340"/>
    </row>
    <row r="12" spans="2:14" ht="20.100000000000001" customHeight="1" x14ac:dyDescent="0.2">
      <c r="B12" s="1337" t="s">
        <v>2093</v>
      </c>
      <c r="C12" s="1341"/>
      <c r="D12" s="1342"/>
      <c r="E12" s="1343"/>
      <c r="F12" s="1343"/>
      <c r="G12" s="1343"/>
      <c r="H12" s="1343"/>
      <c r="I12" s="1343"/>
      <c r="J12" s="1343"/>
      <c r="K12" s="1343"/>
      <c r="L12" s="1340">
        <f t="shared" ref="L12:L27" si="0">+G12+I12+K12</f>
        <v>0</v>
      </c>
      <c r="M12" s="1343"/>
    </row>
    <row r="13" spans="2:14" ht="20.100000000000001" customHeight="1" x14ac:dyDescent="0.2">
      <c r="B13" s="1957" t="s">
        <v>2094</v>
      </c>
      <c r="C13" s="1960">
        <v>10.555</v>
      </c>
      <c r="D13" s="1342">
        <v>2017</v>
      </c>
      <c r="E13" s="1343">
        <v>18819</v>
      </c>
      <c r="F13" s="1343">
        <v>0</v>
      </c>
      <c r="G13" s="1343">
        <v>18819</v>
      </c>
      <c r="H13" s="1343">
        <v>0</v>
      </c>
      <c r="I13" s="1343">
        <v>0</v>
      </c>
      <c r="J13" s="1343">
        <v>0</v>
      </c>
      <c r="K13" s="1343">
        <v>0</v>
      </c>
      <c r="L13" s="1340">
        <f t="shared" si="0"/>
        <v>18819</v>
      </c>
      <c r="M13" s="1343" t="s">
        <v>2088</v>
      </c>
    </row>
    <row r="14" spans="2:14" ht="20.100000000000001" customHeight="1" x14ac:dyDescent="0.2">
      <c r="B14" s="1957" t="s">
        <v>2094</v>
      </c>
      <c r="C14" s="1960">
        <v>10.555</v>
      </c>
      <c r="D14" s="1342">
        <v>2018</v>
      </c>
      <c r="E14" s="1343">
        <v>0</v>
      </c>
      <c r="F14" s="1343">
        <v>17022</v>
      </c>
      <c r="G14" s="1343">
        <v>0</v>
      </c>
      <c r="H14" s="1343">
        <v>0</v>
      </c>
      <c r="I14" s="1343">
        <v>17022</v>
      </c>
      <c r="J14" s="1343">
        <v>0</v>
      </c>
      <c r="K14" s="1343">
        <v>0</v>
      </c>
      <c r="L14" s="1340">
        <f t="shared" si="0"/>
        <v>17022</v>
      </c>
      <c r="M14" s="1343" t="s">
        <v>2088</v>
      </c>
    </row>
    <row r="15" spans="2:14" ht="20.100000000000001" customHeight="1" x14ac:dyDescent="0.2">
      <c r="B15" s="1956" t="s">
        <v>2095</v>
      </c>
      <c r="C15" s="1960">
        <v>10.555</v>
      </c>
      <c r="D15" s="1342">
        <v>2017</v>
      </c>
      <c r="E15" s="1343">
        <v>42098</v>
      </c>
      <c r="F15" s="1343">
        <v>0</v>
      </c>
      <c r="G15" s="1343">
        <v>42098</v>
      </c>
      <c r="H15" s="1343">
        <v>0</v>
      </c>
      <c r="I15" s="1343">
        <v>0</v>
      </c>
      <c r="J15" s="1343">
        <v>0</v>
      </c>
      <c r="K15" s="1343">
        <v>0</v>
      </c>
      <c r="L15" s="1340">
        <f t="shared" si="0"/>
        <v>42098</v>
      </c>
      <c r="M15" s="1343" t="s">
        <v>2088</v>
      </c>
    </row>
    <row r="16" spans="2:14" ht="20.100000000000001" customHeight="1" x14ac:dyDescent="0.2">
      <c r="B16" s="1956" t="s">
        <v>2095</v>
      </c>
      <c r="C16" s="1960">
        <v>10.555</v>
      </c>
      <c r="D16" s="1342">
        <v>2018</v>
      </c>
      <c r="E16" s="1343">
        <v>0</v>
      </c>
      <c r="F16" s="1343">
        <v>34906</v>
      </c>
      <c r="G16" s="1343">
        <v>0</v>
      </c>
      <c r="H16" s="1343">
        <v>0</v>
      </c>
      <c r="I16" s="1343">
        <v>34906</v>
      </c>
      <c r="J16" s="1343">
        <v>0</v>
      </c>
      <c r="K16" s="1343">
        <v>0</v>
      </c>
      <c r="L16" s="1340">
        <f t="shared" si="0"/>
        <v>34906</v>
      </c>
      <c r="M16" s="1343" t="s">
        <v>2088</v>
      </c>
    </row>
    <row r="17" spans="2:14" ht="20.100000000000001" customHeight="1" x14ac:dyDescent="0.2">
      <c r="B17" s="1956" t="s">
        <v>2096</v>
      </c>
      <c r="C17" s="1960">
        <v>10.555</v>
      </c>
      <c r="D17" s="1342" t="s">
        <v>2097</v>
      </c>
      <c r="E17" s="1343">
        <v>63423</v>
      </c>
      <c r="F17" s="1343">
        <v>0</v>
      </c>
      <c r="G17" s="1343">
        <v>63423</v>
      </c>
      <c r="H17" s="1343">
        <v>0</v>
      </c>
      <c r="I17" s="1343">
        <v>0</v>
      </c>
      <c r="J17" s="1343">
        <v>0</v>
      </c>
      <c r="K17" s="1343">
        <v>0</v>
      </c>
      <c r="L17" s="1340">
        <f t="shared" si="0"/>
        <v>63423</v>
      </c>
      <c r="M17" s="1343" t="s">
        <v>2088</v>
      </c>
    </row>
    <row r="18" spans="2:14" ht="20.100000000000001" customHeight="1" x14ac:dyDescent="0.2">
      <c r="B18" s="1956" t="s">
        <v>2096</v>
      </c>
      <c r="C18" s="1960">
        <v>10.555</v>
      </c>
      <c r="D18" s="1342" t="s">
        <v>2098</v>
      </c>
      <c r="E18" s="1343">
        <v>296660</v>
      </c>
      <c r="F18" s="1343">
        <v>67836</v>
      </c>
      <c r="G18" s="1343">
        <v>296660</v>
      </c>
      <c r="H18" s="1343">
        <v>0</v>
      </c>
      <c r="I18" s="1343">
        <v>67836</v>
      </c>
      <c r="J18" s="1343">
        <v>0</v>
      </c>
      <c r="K18" s="1343">
        <v>0</v>
      </c>
      <c r="L18" s="1340">
        <f t="shared" si="0"/>
        <v>364496</v>
      </c>
      <c r="M18" s="1343" t="s">
        <v>2088</v>
      </c>
    </row>
    <row r="19" spans="2:14" ht="20.100000000000001" customHeight="1" x14ac:dyDescent="0.2">
      <c r="B19" s="1956" t="s">
        <v>2096</v>
      </c>
      <c r="C19" s="1960">
        <v>10.555</v>
      </c>
      <c r="D19" s="1342" t="s">
        <v>2099</v>
      </c>
      <c r="E19" s="1959">
        <v>0</v>
      </c>
      <c r="F19" s="1959">
        <v>282093</v>
      </c>
      <c r="G19" s="1959">
        <v>0</v>
      </c>
      <c r="H19" s="1959">
        <v>0</v>
      </c>
      <c r="I19" s="1959">
        <v>282093</v>
      </c>
      <c r="J19" s="1959">
        <v>0</v>
      </c>
      <c r="K19" s="1959">
        <v>0</v>
      </c>
      <c r="L19" s="1958">
        <f t="shared" si="0"/>
        <v>282093</v>
      </c>
      <c r="M19" s="1343" t="s">
        <v>2088</v>
      </c>
    </row>
    <row r="20" spans="2:14" ht="20.100000000000001" customHeight="1" x14ac:dyDescent="0.2">
      <c r="B20" s="1961" t="s">
        <v>2100</v>
      </c>
      <c r="C20" s="1341"/>
      <c r="D20" s="1342"/>
      <c r="E20" s="1959">
        <f>SUM(E13:E19)</f>
        <v>421000</v>
      </c>
      <c r="F20" s="1959">
        <f t="shared" ref="F20:K20" si="1">SUM(F13:F19)</f>
        <v>401857</v>
      </c>
      <c r="G20" s="1959">
        <f t="shared" si="1"/>
        <v>421000</v>
      </c>
      <c r="H20" s="1959">
        <f t="shared" si="1"/>
        <v>0</v>
      </c>
      <c r="I20" s="1959">
        <f t="shared" si="1"/>
        <v>401857</v>
      </c>
      <c r="J20" s="1959">
        <f t="shared" si="1"/>
        <v>0</v>
      </c>
      <c r="K20" s="1959">
        <f t="shared" si="1"/>
        <v>0</v>
      </c>
      <c r="L20" s="1958">
        <f t="shared" si="0"/>
        <v>822857</v>
      </c>
      <c r="M20" s="1343"/>
    </row>
    <row r="21" spans="2:14" ht="20.100000000000001" customHeight="1" x14ac:dyDescent="0.2">
      <c r="B21" s="1962" t="s">
        <v>2101</v>
      </c>
      <c r="C21" s="1963">
        <v>10.553000000000001</v>
      </c>
      <c r="D21" s="1342" t="s">
        <v>2106</v>
      </c>
      <c r="E21" s="1343">
        <v>15688</v>
      </c>
      <c r="F21" s="1343">
        <v>0</v>
      </c>
      <c r="G21" s="1343">
        <v>15688</v>
      </c>
      <c r="H21" s="1343">
        <v>0</v>
      </c>
      <c r="I21" s="1343">
        <v>0</v>
      </c>
      <c r="J21" s="1343">
        <v>0</v>
      </c>
      <c r="K21" s="1343">
        <v>0</v>
      </c>
      <c r="L21" s="1340">
        <f t="shared" si="0"/>
        <v>15688</v>
      </c>
      <c r="M21" s="1343" t="s">
        <v>2088</v>
      </c>
    </row>
    <row r="22" spans="2:14" ht="20.100000000000001" customHeight="1" x14ac:dyDescent="0.2">
      <c r="B22" s="1962" t="s">
        <v>2101</v>
      </c>
      <c r="C22" s="1963">
        <v>10.553000000000001</v>
      </c>
      <c r="D22" s="1342" t="s">
        <v>2107</v>
      </c>
      <c r="E22" s="1343">
        <v>86726</v>
      </c>
      <c r="F22" s="1343">
        <v>34260</v>
      </c>
      <c r="G22" s="1343">
        <v>86726</v>
      </c>
      <c r="H22" s="1343">
        <v>0</v>
      </c>
      <c r="I22" s="1343">
        <v>34260</v>
      </c>
      <c r="J22" s="1343">
        <v>0</v>
      </c>
      <c r="K22" s="1343">
        <v>0</v>
      </c>
      <c r="L22" s="1340">
        <f t="shared" si="0"/>
        <v>120986</v>
      </c>
      <c r="M22" s="1343" t="s">
        <v>2088</v>
      </c>
    </row>
    <row r="23" spans="2:14" ht="20.100000000000001" customHeight="1" x14ac:dyDescent="0.2">
      <c r="B23" s="1962" t="s">
        <v>2101</v>
      </c>
      <c r="C23" s="1963">
        <v>10.553000000000001</v>
      </c>
      <c r="D23" s="1342" t="s">
        <v>2108</v>
      </c>
      <c r="E23" s="1959">
        <v>0</v>
      </c>
      <c r="F23" s="1959">
        <v>147076</v>
      </c>
      <c r="G23" s="1959">
        <v>0</v>
      </c>
      <c r="H23" s="1959">
        <v>0</v>
      </c>
      <c r="I23" s="1959">
        <v>147076</v>
      </c>
      <c r="J23" s="1959">
        <v>0</v>
      </c>
      <c r="K23" s="1959">
        <v>0</v>
      </c>
      <c r="L23" s="1958">
        <f t="shared" si="0"/>
        <v>147076</v>
      </c>
      <c r="M23" s="1343" t="s">
        <v>2088</v>
      </c>
    </row>
    <row r="24" spans="2:14" ht="20.100000000000001" customHeight="1" x14ac:dyDescent="0.2">
      <c r="B24" s="1962" t="s">
        <v>2102</v>
      </c>
      <c r="C24" s="1963"/>
      <c r="D24" s="1342"/>
      <c r="E24" s="1959">
        <f>SUM(E21:E23)</f>
        <v>102414</v>
      </c>
      <c r="F24" s="1959">
        <f t="shared" ref="F24:K24" si="2">SUM(F21:F23)</f>
        <v>181336</v>
      </c>
      <c r="G24" s="1959">
        <f t="shared" si="2"/>
        <v>102414</v>
      </c>
      <c r="H24" s="1959">
        <f t="shared" si="2"/>
        <v>0</v>
      </c>
      <c r="I24" s="1959">
        <f t="shared" si="2"/>
        <v>181336</v>
      </c>
      <c r="J24" s="1959">
        <f t="shared" si="2"/>
        <v>0</v>
      </c>
      <c r="K24" s="1959">
        <f t="shared" si="2"/>
        <v>0</v>
      </c>
      <c r="L24" s="1958">
        <f t="shared" si="0"/>
        <v>283750</v>
      </c>
      <c r="M24" s="1343"/>
    </row>
    <row r="25" spans="2:14" ht="20.100000000000001" customHeight="1" x14ac:dyDescent="0.2">
      <c r="B25" s="1962" t="s">
        <v>2103</v>
      </c>
      <c r="C25" s="1963">
        <v>10.579000000000001</v>
      </c>
      <c r="D25" s="1342" t="s">
        <v>2109</v>
      </c>
      <c r="E25" s="1959">
        <v>7400</v>
      </c>
      <c r="F25" s="1959">
        <v>0</v>
      </c>
      <c r="G25" s="1959">
        <v>7400</v>
      </c>
      <c r="H25" s="1959">
        <v>0</v>
      </c>
      <c r="I25" s="1959">
        <v>0</v>
      </c>
      <c r="J25" s="1959">
        <v>0</v>
      </c>
      <c r="K25" s="1959">
        <v>0</v>
      </c>
      <c r="L25" s="1958">
        <f t="shared" si="0"/>
        <v>7400</v>
      </c>
      <c r="M25" s="1343">
        <v>7400</v>
      </c>
    </row>
    <row r="26" spans="2:14" ht="20.100000000000001" customHeight="1" x14ac:dyDescent="0.2">
      <c r="B26" s="1962" t="s">
        <v>2104</v>
      </c>
      <c r="C26" s="1341"/>
      <c r="D26" s="1342"/>
      <c r="E26" s="1959">
        <f>SUM(E25)</f>
        <v>7400</v>
      </c>
      <c r="F26" s="1959">
        <f t="shared" ref="F26:K26" si="3">SUM(F25)</f>
        <v>0</v>
      </c>
      <c r="G26" s="1959">
        <f t="shared" si="3"/>
        <v>7400</v>
      </c>
      <c r="H26" s="1959">
        <f t="shared" si="3"/>
        <v>0</v>
      </c>
      <c r="I26" s="1959">
        <f t="shared" si="3"/>
        <v>0</v>
      </c>
      <c r="J26" s="1959">
        <f t="shared" si="3"/>
        <v>0</v>
      </c>
      <c r="K26" s="1959">
        <f t="shared" si="3"/>
        <v>0</v>
      </c>
      <c r="L26" s="1958">
        <f t="shared" si="0"/>
        <v>7400</v>
      </c>
      <c r="M26" s="1343"/>
    </row>
    <row r="27" spans="2:14" ht="20.100000000000001" customHeight="1" x14ac:dyDescent="0.2">
      <c r="B27" s="1962" t="s">
        <v>2105</v>
      </c>
      <c r="C27" s="1341"/>
      <c r="D27" s="1342"/>
      <c r="E27" s="1959">
        <f>+E26+E24+E20</f>
        <v>530814</v>
      </c>
      <c r="F27" s="1959">
        <f t="shared" ref="F27:K27" si="4">+F26+F24+F20</f>
        <v>583193</v>
      </c>
      <c r="G27" s="1959">
        <f t="shared" si="4"/>
        <v>530814</v>
      </c>
      <c r="H27" s="1959">
        <f t="shared" si="4"/>
        <v>0</v>
      </c>
      <c r="I27" s="1959">
        <f t="shared" si="4"/>
        <v>583193</v>
      </c>
      <c r="J27" s="1959">
        <f t="shared" si="4"/>
        <v>0</v>
      </c>
      <c r="K27" s="1959">
        <f t="shared" si="4"/>
        <v>0</v>
      </c>
      <c r="L27" s="1958">
        <f t="shared" si="0"/>
        <v>1114007</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1836</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1837</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1838</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1839</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1840</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8" t="s">
        <v>1229</v>
      </c>
      <c r="B2" s="2108"/>
      <c r="C2" s="2108"/>
      <c r="D2" s="2108"/>
      <c r="E2" s="2108"/>
      <c r="F2" s="2108"/>
      <c r="G2" s="2108"/>
      <c r="H2" s="2108"/>
      <c r="I2" s="2108"/>
      <c r="J2" s="210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22" t="s">
        <v>1730</v>
      </c>
      <c r="B35" s="2123"/>
      <c r="C35" s="2123"/>
      <c r="D35" s="2123"/>
      <c r="E35" s="2124"/>
      <c r="F35" s="2124"/>
      <c r="G35" s="2124"/>
      <c r="H35" s="2124"/>
      <c r="I35" s="212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2" t="s">
        <v>330</v>
      </c>
      <c r="B47" s="2125"/>
      <c r="C47" s="2125"/>
      <c r="D47" s="2125"/>
      <c r="E47" s="2126"/>
      <c r="F47" s="2126"/>
      <c r="G47" s="2126"/>
      <c r="H47" s="2126"/>
      <c r="I47" s="212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9"/>
      <c r="C57" s="2130"/>
      <c r="D57" s="2130"/>
      <c r="E57" s="2130"/>
      <c r="F57" s="2130"/>
      <c r="G57" s="2130"/>
      <c r="H57" s="2130"/>
      <c r="I57" s="2130"/>
      <c r="J57" s="2131"/>
    </row>
    <row r="58" spans="1:10" s="181" customFormat="1" x14ac:dyDescent="0.2">
      <c r="A58" s="253"/>
      <c r="B58" s="2132"/>
      <c r="C58" s="2133"/>
      <c r="D58" s="2133"/>
      <c r="E58" s="2133"/>
      <c r="F58" s="2133"/>
      <c r="G58" s="2133"/>
      <c r="H58" s="2133"/>
      <c r="I58" s="2133"/>
      <c r="J58" s="2134"/>
    </row>
    <row r="59" spans="1:10" s="181" customFormat="1" x14ac:dyDescent="0.2">
      <c r="A59" s="253"/>
      <c r="B59" s="2132"/>
      <c r="C59" s="2133"/>
      <c r="D59" s="2133"/>
      <c r="E59" s="2133"/>
      <c r="F59" s="2133"/>
      <c r="G59" s="2133"/>
      <c r="H59" s="2133"/>
      <c r="I59" s="2133"/>
      <c r="J59" s="2134"/>
    </row>
    <row r="60" spans="1:10" s="181" customFormat="1" x14ac:dyDescent="0.2">
      <c r="A60" s="253"/>
      <c r="B60" s="2132"/>
      <c r="C60" s="2133"/>
      <c r="D60" s="2133"/>
      <c r="E60" s="2133"/>
      <c r="F60" s="2133"/>
      <c r="G60" s="2133"/>
      <c r="H60" s="2133"/>
      <c r="I60" s="2133"/>
      <c r="J60" s="2134"/>
    </row>
    <row r="61" spans="1:10" s="181" customFormat="1" x14ac:dyDescent="0.2">
      <c r="A61" s="253"/>
      <c r="B61" s="2132"/>
      <c r="C61" s="2133"/>
      <c r="D61" s="2133"/>
      <c r="E61" s="2133"/>
      <c r="F61" s="2133"/>
      <c r="G61" s="2133"/>
      <c r="H61" s="2133"/>
      <c r="I61" s="2133"/>
      <c r="J61" s="2134"/>
    </row>
    <row r="62" spans="1:10" s="181" customFormat="1" x14ac:dyDescent="0.2">
      <c r="A62" s="253"/>
      <c r="B62" s="2132"/>
      <c r="C62" s="2133"/>
      <c r="D62" s="2133"/>
      <c r="E62" s="2133"/>
      <c r="F62" s="2133"/>
      <c r="G62" s="2133"/>
      <c r="H62" s="2133"/>
      <c r="I62" s="2133"/>
      <c r="J62" s="2134"/>
    </row>
    <row r="63" spans="1:10" s="181" customFormat="1" x14ac:dyDescent="0.2">
      <c r="A63" s="253"/>
      <c r="B63" s="2132"/>
      <c r="C63" s="2133"/>
      <c r="D63" s="2133"/>
      <c r="E63" s="2133"/>
      <c r="F63" s="2133"/>
      <c r="G63" s="2133"/>
      <c r="H63" s="2133"/>
      <c r="I63" s="2133"/>
      <c r="J63" s="2134"/>
    </row>
    <row r="64" spans="1:10" s="181" customFormat="1" x14ac:dyDescent="0.2">
      <c r="A64" s="253"/>
      <c r="B64" s="2132"/>
      <c r="C64" s="2133"/>
      <c r="D64" s="2133"/>
      <c r="E64" s="2133"/>
      <c r="F64" s="2133"/>
      <c r="G64" s="2133"/>
      <c r="H64" s="2133"/>
      <c r="I64" s="2133"/>
      <c r="J64" s="2134"/>
    </row>
    <row r="65" spans="1:10" s="181" customFormat="1" x14ac:dyDescent="0.2">
      <c r="A65" s="253"/>
      <c r="B65" s="2132"/>
      <c r="C65" s="2133"/>
      <c r="D65" s="2133"/>
      <c r="E65" s="2133"/>
      <c r="F65" s="2133"/>
      <c r="G65" s="2133"/>
      <c r="H65" s="2133"/>
      <c r="I65" s="2133"/>
      <c r="J65" s="2134"/>
    </row>
    <row r="66" spans="1:10" s="181" customFormat="1" x14ac:dyDescent="0.2">
      <c r="A66" s="253"/>
      <c r="B66" s="2132"/>
      <c r="C66" s="2133"/>
      <c r="D66" s="2133"/>
      <c r="E66" s="2133"/>
      <c r="F66" s="2133"/>
      <c r="G66" s="2133"/>
      <c r="H66" s="2133"/>
      <c r="I66" s="2133"/>
      <c r="J66" s="2134"/>
    </row>
    <row r="67" spans="1:10" s="181" customFormat="1" ht="9" customHeight="1" x14ac:dyDescent="0.2">
      <c r="A67" s="254"/>
      <c r="B67" s="2135"/>
      <c r="C67" s="2136"/>
      <c r="D67" s="2136"/>
      <c r="E67" s="2136"/>
      <c r="F67" s="2136"/>
      <c r="G67" s="2136"/>
      <c r="H67" s="2136"/>
      <c r="I67" s="2136"/>
      <c r="J67" s="213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2" t="s">
        <v>1389</v>
      </c>
      <c r="B70" s="2125"/>
      <c r="C70" s="2125"/>
      <c r="D70" s="2125"/>
      <c r="E70" s="2126"/>
      <c r="F70" s="2126"/>
      <c r="G70" s="2126"/>
      <c r="H70" s="2126"/>
      <c r="I70" s="212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7" t="s">
        <v>1386</v>
      </c>
      <c r="B83" s="2127"/>
      <c r="C83" s="2127"/>
      <c r="D83" s="212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09"/>
      <c r="C102" s="2110"/>
      <c r="D102" s="2110"/>
      <c r="E102" s="2110"/>
      <c r="F102" s="2110"/>
      <c r="G102" s="2110"/>
      <c r="H102" s="2110"/>
      <c r="I102" s="2111"/>
    </row>
    <row r="103" spans="1:9" s="181" customFormat="1" ht="11.25" customHeight="1" x14ac:dyDescent="0.2">
      <c r="A103" s="316"/>
      <c r="B103" s="2112"/>
      <c r="C103" s="2113"/>
      <c r="D103" s="2113"/>
      <c r="E103" s="2113"/>
      <c r="F103" s="2113"/>
      <c r="G103" s="2113"/>
      <c r="H103" s="2113"/>
      <c r="I103" s="2114"/>
    </row>
    <row r="104" spans="1:9" s="181" customFormat="1" ht="11.25" customHeight="1" x14ac:dyDescent="0.2">
      <c r="A104" s="316"/>
      <c r="B104" s="2112"/>
      <c r="C104" s="2113"/>
      <c r="D104" s="2113"/>
      <c r="E104" s="2113"/>
      <c r="F104" s="2113"/>
      <c r="G104" s="2113"/>
      <c r="H104" s="2113"/>
      <c r="I104" s="2114"/>
    </row>
    <row r="105" spans="1:9" s="181" customFormat="1" x14ac:dyDescent="0.2">
      <c r="A105" s="316"/>
      <c r="B105" s="2112"/>
      <c r="C105" s="2113"/>
      <c r="D105" s="2113"/>
      <c r="E105" s="2113"/>
      <c r="F105" s="2113"/>
      <c r="G105" s="2113"/>
      <c r="H105" s="2113"/>
      <c r="I105" s="2114"/>
    </row>
    <row r="106" spans="1:9" s="181" customFormat="1" ht="11.25" customHeight="1" x14ac:dyDescent="0.2">
      <c r="A106" s="316"/>
      <c r="B106" s="2112"/>
      <c r="C106" s="2113"/>
      <c r="D106" s="2113"/>
      <c r="E106" s="2113"/>
      <c r="F106" s="2113"/>
      <c r="G106" s="2113"/>
      <c r="H106" s="2113"/>
      <c r="I106" s="2114"/>
    </row>
    <row r="107" spans="1:9" s="181" customFormat="1" ht="11.25" customHeight="1" x14ac:dyDescent="0.2">
      <c r="A107" s="316"/>
      <c r="B107" s="2112"/>
      <c r="C107" s="2113"/>
      <c r="D107" s="2113"/>
      <c r="E107" s="2113"/>
      <c r="F107" s="2113"/>
      <c r="G107" s="2113"/>
      <c r="H107" s="2113"/>
      <c r="I107" s="2114"/>
    </row>
    <row r="108" spans="1:9" s="181" customFormat="1" ht="11.25" customHeight="1" x14ac:dyDescent="0.2">
      <c r="A108" s="316"/>
      <c r="B108" s="2112"/>
      <c r="C108" s="2113"/>
      <c r="D108" s="2113"/>
      <c r="E108" s="2113"/>
      <c r="F108" s="2113"/>
      <c r="G108" s="2113"/>
      <c r="H108" s="2113"/>
      <c r="I108" s="2114"/>
    </row>
    <row r="109" spans="1:9" s="181" customFormat="1" ht="11.25" customHeight="1" x14ac:dyDescent="0.2">
      <c r="A109" s="316"/>
      <c r="B109" s="2112"/>
      <c r="C109" s="2113"/>
      <c r="D109" s="2113"/>
      <c r="E109" s="2113"/>
      <c r="F109" s="2113"/>
      <c r="G109" s="2113"/>
      <c r="H109" s="2113"/>
      <c r="I109" s="2114"/>
    </row>
    <row r="110" spans="1:9" s="181" customFormat="1" ht="11.25" customHeight="1" x14ac:dyDescent="0.2">
      <c r="A110" s="316"/>
      <c r="B110" s="2112"/>
      <c r="C110" s="2113"/>
      <c r="D110" s="2113"/>
      <c r="E110" s="2113"/>
      <c r="F110" s="2113"/>
      <c r="G110" s="2113"/>
      <c r="H110" s="2113"/>
      <c r="I110" s="2114"/>
    </row>
    <row r="111" spans="1:9" s="181" customFormat="1" ht="11.25" customHeight="1" x14ac:dyDescent="0.2">
      <c r="A111" s="316"/>
      <c r="B111" s="2112"/>
      <c r="C111" s="2113"/>
      <c r="D111" s="2113"/>
      <c r="E111" s="2113"/>
      <c r="F111" s="2113"/>
      <c r="G111" s="2113"/>
      <c r="H111" s="2113"/>
      <c r="I111" s="2114"/>
    </row>
    <row r="112" spans="1:9" s="181" customFormat="1" ht="11.25" customHeight="1" x14ac:dyDescent="0.2">
      <c r="A112" s="316"/>
      <c r="B112" s="2115"/>
      <c r="C112" s="2116"/>
      <c r="D112" s="2116"/>
      <c r="E112" s="2116"/>
      <c r="F112" s="2116"/>
      <c r="G112" s="2116"/>
      <c r="H112" s="2116"/>
      <c r="I112" s="211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8" t="s">
        <v>2199</v>
      </c>
      <c r="D114" s="211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9" t="s">
        <v>1396</v>
      </c>
      <c r="D117" s="2120"/>
      <c r="E117" s="2121"/>
      <c r="F117" s="2121"/>
      <c r="G117" s="2121"/>
      <c r="H117" s="212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topLeftCell="A13"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4" t="str">
        <f>'Single Audit Cover'!A7</f>
        <v>West Carroll CUSD 314</v>
      </c>
      <c r="C1" s="2500"/>
      <c r="D1" s="2500"/>
      <c r="E1" s="2500"/>
      <c r="F1" s="2500"/>
      <c r="G1" s="2500"/>
      <c r="H1" s="2500"/>
      <c r="I1" s="2500"/>
      <c r="J1" s="2500"/>
      <c r="K1" s="2500"/>
      <c r="L1" s="2500"/>
      <c r="M1" s="2500"/>
    </row>
    <row r="2" spans="2:14" ht="15" x14ac:dyDescent="0.2">
      <c r="B2" s="2489">
        <f>'Single Audit Cover'!E7</f>
        <v>8008314026</v>
      </c>
      <c r="C2" s="2489"/>
      <c r="D2" s="2489"/>
      <c r="E2" s="2489"/>
      <c r="F2" s="2489"/>
      <c r="G2" s="2489"/>
      <c r="H2" s="2489"/>
      <c r="I2" s="2489"/>
      <c r="J2" s="2489"/>
      <c r="K2" s="2489"/>
      <c r="L2" s="2489"/>
      <c r="M2" s="2489"/>
      <c r="N2" s="1302"/>
    </row>
    <row r="3" spans="2:14" ht="15" x14ac:dyDescent="0.2">
      <c r="B3" s="2501" t="s">
        <v>1280</v>
      </c>
      <c r="C3" s="2501"/>
      <c r="D3" s="2501"/>
      <c r="E3" s="2501"/>
      <c r="F3" s="2501"/>
      <c r="G3" s="2501"/>
      <c r="H3" s="2501"/>
      <c r="I3" s="2501"/>
      <c r="J3" s="2501"/>
      <c r="K3" s="2501"/>
      <c r="L3" s="2501"/>
      <c r="M3" s="2501"/>
      <c r="N3" s="1302"/>
    </row>
    <row r="4" spans="2:14" ht="15" x14ac:dyDescent="0.2">
      <c r="B4" s="2502" t="str">
        <f>'Single Audit Cover'!A4</f>
        <v>Year Ending June 30, 2018</v>
      </c>
      <c r="C4" s="2502"/>
      <c r="D4" s="2502"/>
      <c r="E4" s="2502"/>
      <c r="F4" s="2502"/>
      <c r="G4" s="2502"/>
      <c r="H4" s="2502"/>
      <c r="I4" s="2502"/>
      <c r="J4" s="2502"/>
      <c r="K4" s="2502"/>
      <c r="L4" s="2502"/>
      <c r="M4" s="250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64" t="s">
        <v>2110</v>
      </c>
      <c r="C11" s="1338"/>
      <c r="D11" s="1339"/>
      <c r="E11" s="1340"/>
      <c r="F11" s="1340"/>
      <c r="G11" s="1340"/>
      <c r="H11" s="1340"/>
      <c r="I11" s="1340"/>
      <c r="J11" s="1340"/>
      <c r="K11" s="1340"/>
      <c r="L11" s="1340">
        <f>+G11+I11+K11</f>
        <v>0</v>
      </c>
      <c r="M11" s="1340"/>
    </row>
    <row r="12" spans="2:14" ht="20.100000000000001" customHeight="1" x14ac:dyDescent="0.2">
      <c r="B12" s="1964" t="s">
        <v>2111</v>
      </c>
      <c r="C12" s="1341"/>
      <c r="D12" s="1342"/>
      <c r="E12" s="1343"/>
      <c r="F12" s="1343"/>
      <c r="G12" s="1343"/>
      <c r="H12" s="1343"/>
      <c r="I12" s="1343"/>
      <c r="J12" s="1343"/>
      <c r="K12" s="1343"/>
      <c r="L12" s="1340">
        <f t="shared" ref="L12:L26" si="0">+G12+I12+K12</f>
        <v>0</v>
      </c>
      <c r="M12" s="1343"/>
    </row>
    <row r="13" spans="2:14" ht="20.100000000000001" customHeight="1" x14ac:dyDescent="0.2">
      <c r="B13" s="1965" t="s">
        <v>2112</v>
      </c>
      <c r="C13" s="1966" t="s">
        <v>2113</v>
      </c>
      <c r="D13" s="1342" t="s">
        <v>2114</v>
      </c>
      <c r="E13" s="1343">
        <v>70924</v>
      </c>
      <c r="F13" s="1343">
        <v>0</v>
      </c>
      <c r="G13" s="1343">
        <v>0</v>
      </c>
      <c r="H13" s="1343">
        <v>0</v>
      </c>
      <c r="I13" s="1343">
        <v>0</v>
      </c>
      <c r="J13" s="1343">
        <v>0</v>
      </c>
      <c r="K13" s="1343">
        <v>0</v>
      </c>
      <c r="L13" s="1340">
        <f t="shared" si="0"/>
        <v>0</v>
      </c>
      <c r="M13" s="1343">
        <v>348744</v>
      </c>
    </row>
    <row r="14" spans="2:14" ht="20.100000000000001" customHeight="1" x14ac:dyDescent="0.2">
      <c r="B14" s="1965" t="s">
        <v>2112</v>
      </c>
      <c r="C14" s="1966" t="s">
        <v>2113</v>
      </c>
      <c r="D14" s="1342" t="s">
        <v>2114</v>
      </c>
      <c r="E14" s="1343">
        <v>-443</v>
      </c>
      <c r="F14" s="1343">
        <v>0</v>
      </c>
      <c r="G14" s="1343">
        <v>0</v>
      </c>
      <c r="H14" s="1343">
        <v>0</v>
      </c>
      <c r="I14" s="1343">
        <v>0</v>
      </c>
      <c r="J14" s="1343">
        <v>0</v>
      </c>
      <c r="K14" s="1343">
        <v>0</v>
      </c>
      <c r="L14" s="1340">
        <f t="shared" si="0"/>
        <v>0</v>
      </c>
      <c r="M14" s="1343"/>
    </row>
    <row r="15" spans="2:14" ht="20.100000000000001" customHeight="1" x14ac:dyDescent="0.2">
      <c r="B15" s="1965" t="s">
        <v>2117</v>
      </c>
      <c r="C15" s="1966" t="s">
        <v>2113</v>
      </c>
      <c r="D15" s="1342" t="s">
        <v>2115</v>
      </c>
      <c r="E15" s="1343">
        <v>244930</v>
      </c>
      <c r="F15" s="1343">
        <v>109669</v>
      </c>
      <c r="G15" s="1343">
        <v>319895</v>
      </c>
      <c r="H15" s="1343">
        <v>0</v>
      </c>
      <c r="I15" s="1343">
        <v>34300</v>
      </c>
      <c r="J15" s="1343">
        <v>0</v>
      </c>
      <c r="K15" s="1343">
        <v>0</v>
      </c>
      <c r="L15" s="1340">
        <f t="shared" si="0"/>
        <v>354195</v>
      </c>
      <c r="M15" s="1343">
        <v>355041</v>
      </c>
    </row>
    <row r="16" spans="2:14" ht="20.100000000000001" customHeight="1" x14ac:dyDescent="0.2">
      <c r="B16" s="1967" t="s">
        <v>2117</v>
      </c>
      <c r="C16" s="1966" t="s">
        <v>2113</v>
      </c>
      <c r="D16" s="1342" t="s">
        <v>2116</v>
      </c>
      <c r="E16" s="1959">
        <v>0</v>
      </c>
      <c r="F16" s="1959">
        <v>173164</v>
      </c>
      <c r="G16" s="1959">
        <v>0</v>
      </c>
      <c r="H16" s="1959">
        <v>0</v>
      </c>
      <c r="I16" s="1959">
        <v>194142</v>
      </c>
      <c r="J16" s="1959">
        <v>0</v>
      </c>
      <c r="K16" s="1959">
        <v>0</v>
      </c>
      <c r="L16" s="1958">
        <f t="shared" si="0"/>
        <v>194142</v>
      </c>
      <c r="M16" s="1343">
        <v>293041</v>
      </c>
    </row>
    <row r="17" spans="2:14" ht="20.100000000000001" customHeight="1" x14ac:dyDescent="0.2">
      <c r="B17" s="1968" t="s">
        <v>2118</v>
      </c>
      <c r="C17" s="1341"/>
      <c r="D17" s="1342"/>
      <c r="E17" s="1959">
        <f>SUM(E13:E16)</f>
        <v>315411</v>
      </c>
      <c r="F17" s="1959">
        <f t="shared" ref="F17:K17" si="1">SUM(F13:F16)</f>
        <v>282833</v>
      </c>
      <c r="G17" s="1959">
        <f t="shared" si="1"/>
        <v>319895</v>
      </c>
      <c r="H17" s="1959">
        <f t="shared" si="1"/>
        <v>0</v>
      </c>
      <c r="I17" s="1959">
        <f t="shared" si="1"/>
        <v>228442</v>
      </c>
      <c r="J17" s="1959">
        <f t="shared" si="1"/>
        <v>0</v>
      </c>
      <c r="K17" s="1959">
        <f t="shared" si="1"/>
        <v>0</v>
      </c>
      <c r="L17" s="1958">
        <f t="shared" si="0"/>
        <v>548337</v>
      </c>
      <c r="M17" s="1343"/>
    </row>
    <row r="18" spans="2:14" ht="20.100000000000001" customHeight="1" x14ac:dyDescent="0.2">
      <c r="B18" s="1970" t="s">
        <v>2119</v>
      </c>
      <c r="C18" s="1969" t="s">
        <v>2120</v>
      </c>
      <c r="D18" s="1342" t="s">
        <v>2121</v>
      </c>
      <c r="E18" s="1343">
        <v>12671</v>
      </c>
      <c r="F18" s="1343">
        <v>0</v>
      </c>
      <c r="G18" s="1343">
        <v>0</v>
      </c>
      <c r="H18" s="1343">
        <v>0</v>
      </c>
      <c r="I18" s="1343">
        <v>0</v>
      </c>
      <c r="J18" s="1343">
        <v>0</v>
      </c>
      <c r="K18" s="1343">
        <v>0</v>
      </c>
      <c r="L18" s="1340">
        <f t="shared" si="0"/>
        <v>0</v>
      </c>
      <c r="M18" s="1343">
        <v>79759</v>
      </c>
    </row>
    <row r="19" spans="2:14" ht="20.100000000000001" customHeight="1" x14ac:dyDescent="0.2">
      <c r="B19" s="1970" t="s">
        <v>2119</v>
      </c>
      <c r="C19" s="1969" t="s">
        <v>2120</v>
      </c>
      <c r="D19" s="1342" t="s">
        <v>2122</v>
      </c>
      <c r="E19" s="1343">
        <v>79236</v>
      </c>
      <c r="F19" s="1343">
        <v>631</v>
      </c>
      <c r="G19" s="1343">
        <v>79867</v>
      </c>
      <c r="H19" s="1343">
        <v>0</v>
      </c>
      <c r="I19" s="1343">
        <v>0</v>
      </c>
      <c r="J19" s="1343">
        <v>0</v>
      </c>
      <c r="K19" s="1343">
        <v>0</v>
      </c>
      <c r="L19" s="1340">
        <f t="shared" si="0"/>
        <v>79867</v>
      </c>
      <c r="M19" s="1343">
        <v>79867</v>
      </c>
    </row>
    <row r="20" spans="2:14" ht="20.100000000000001" customHeight="1" x14ac:dyDescent="0.2">
      <c r="B20" s="1970" t="s">
        <v>2119</v>
      </c>
      <c r="C20" s="1969" t="s">
        <v>2120</v>
      </c>
      <c r="D20" s="1342" t="s">
        <v>2123</v>
      </c>
      <c r="E20" s="1959">
        <v>0</v>
      </c>
      <c r="F20" s="1959">
        <v>46475</v>
      </c>
      <c r="G20" s="1959">
        <v>0</v>
      </c>
      <c r="H20" s="1959">
        <v>0</v>
      </c>
      <c r="I20" s="1959">
        <v>46475</v>
      </c>
      <c r="J20" s="1959">
        <v>0</v>
      </c>
      <c r="K20" s="1959">
        <v>0</v>
      </c>
      <c r="L20" s="1958">
        <f t="shared" si="0"/>
        <v>46475</v>
      </c>
      <c r="M20" s="1343">
        <v>46936</v>
      </c>
    </row>
    <row r="21" spans="2:14" ht="20.100000000000001" customHeight="1" x14ac:dyDescent="0.2">
      <c r="B21" s="1972" t="s">
        <v>2124</v>
      </c>
      <c r="C21" s="1341"/>
      <c r="D21" s="1342"/>
      <c r="E21" s="1959">
        <f>SUM(E18:E20)</f>
        <v>91907</v>
      </c>
      <c r="F21" s="1959">
        <f t="shared" ref="F21:K21" si="2">SUM(F18:F20)</f>
        <v>47106</v>
      </c>
      <c r="G21" s="1959">
        <f t="shared" si="2"/>
        <v>79867</v>
      </c>
      <c r="H21" s="1959">
        <f t="shared" si="2"/>
        <v>0</v>
      </c>
      <c r="I21" s="1959">
        <f t="shared" si="2"/>
        <v>46475</v>
      </c>
      <c r="J21" s="1959">
        <f t="shared" si="2"/>
        <v>0</v>
      </c>
      <c r="K21" s="1959">
        <f t="shared" si="2"/>
        <v>0</v>
      </c>
      <c r="L21" s="1958">
        <f t="shared" si="0"/>
        <v>126342</v>
      </c>
      <c r="M21" s="1343"/>
    </row>
    <row r="22" spans="2:14" ht="20.100000000000001" customHeight="1" x14ac:dyDescent="0.2">
      <c r="B22" s="1979" t="s">
        <v>2157</v>
      </c>
      <c r="C22" s="1973" t="s">
        <v>2126</v>
      </c>
      <c r="D22" s="1342" t="s">
        <v>2158</v>
      </c>
      <c r="E22" s="1959">
        <v>0</v>
      </c>
      <c r="F22" s="1959">
        <v>0</v>
      </c>
      <c r="G22" s="1959">
        <v>0</v>
      </c>
      <c r="H22" s="1959">
        <v>0</v>
      </c>
      <c r="I22" s="1959">
        <v>10000</v>
      </c>
      <c r="J22" s="1959">
        <v>0</v>
      </c>
      <c r="K22" s="1959">
        <v>0</v>
      </c>
      <c r="L22" s="1958">
        <f t="shared" si="0"/>
        <v>10000</v>
      </c>
      <c r="M22" s="1343">
        <v>10000</v>
      </c>
    </row>
    <row r="23" spans="2:14" ht="20.100000000000001" customHeight="1" x14ac:dyDescent="0.2">
      <c r="B23" s="1975" t="s">
        <v>2125</v>
      </c>
      <c r="C23" s="1974" t="s">
        <v>2126</v>
      </c>
      <c r="D23" s="1342" t="s">
        <v>2127</v>
      </c>
      <c r="E23" s="1343">
        <v>1587</v>
      </c>
      <c r="F23" s="1343">
        <v>0</v>
      </c>
      <c r="G23" s="1343">
        <v>0</v>
      </c>
      <c r="H23" s="1343">
        <v>0</v>
      </c>
      <c r="I23" s="1343">
        <v>0</v>
      </c>
      <c r="J23" s="1343">
        <v>0</v>
      </c>
      <c r="K23" s="1343">
        <v>0</v>
      </c>
      <c r="L23" s="1340">
        <f t="shared" si="0"/>
        <v>0</v>
      </c>
      <c r="M23" s="1343" t="s">
        <v>2088</v>
      </c>
    </row>
    <row r="24" spans="2:14" ht="20.100000000000001" customHeight="1" x14ac:dyDescent="0.2">
      <c r="B24" s="1975" t="s">
        <v>2125</v>
      </c>
      <c r="C24" s="1974" t="s">
        <v>2126</v>
      </c>
      <c r="D24" s="1342" t="s">
        <v>2128</v>
      </c>
      <c r="E24" s="1343">
        <v>0</v>
      </c>
      <c r="F24" s="1343">
        <v>3724</v>
      </c>
      <c r="G24" s="1343">
        <v>0</v>
      </c>
      <c r="H24" s="1343">
        <v>0</v>
      </c>
      <c r="I24" s="1343">
        <v>3724</v>
      </c>
      <c r="J24" s="1343">
        <v>0</v>
      </c>
      <c r="K24" s="1343">
        <v>0</v>
      </c>
      <c r="L24" s="1340">
        <f t="shared" si="0"/>
        <v>3724</v>
      </c>
      <c r="M24" s="1343" t="s">
        <v>2088</v>
      </c>
    </row>
    <row r="25" spans="2:14" ht="20.100000000000001" customHeight="1" x14ac:dyDescent="0.2">
      <c r="B25" s="1975" t="s">
        <v>2129</v>
      </c>
      <c r="C25" s="1974"/>
      <c r="D25" s="1342"/>
      <c r="E25" s="1343"/>
      <c r="F25" s="1343"/>
      <c r="G25" s="1343"/>
      <c r="H25" s="1343"/>
      <c r="I25" s="1343"/>
      <c r="J25" s="1343"/>
      <c r="K25" s="1343"/>
      <c r="L25" s="1340">
        <f t="shared" si="0"/>
        <v>0</v>
      </c>
      <c r="M25" s="1343"/>
    </row>
    <row r="26" spans="2:14" ht="20.100000000000001" customHeight="1" x14ac:dyDescent="0.2">
      <c r="B26" s="1975" t="s">
        <v>2130</v>
      </c>
      <c r="C26" s="1974" t="s">
        <v>2126</v>
      </c>
      <c r="D26" s="1342" t="s">
        <v>2132</v>
      </c>
      <c r="E26" s="1343">
        <v>29738</v>
      </c>
      <c r="F26" s="1343">
        <v>0</v>
      </c>
      <c r="G26" s="1343">
        <v>0</v>
      </c>
      <c r="H26" s="1343">
        <v>0</v>
      </c>
      <c r="I26" s="1343">
        <v>0</v>
      </c>
      <c r="J26" s="1343">
        <v>0</v>
      </c>
      <c r="K26" s="1343">
        <v>0</v>
      </c>
      <c r="L26" s="1340">
        <f t="shared" si="0"/>
        <v>0</v>
      </c>
      <c r="M26" s="1343">
        <v>240730</v>
      </c>
      <c r="N26" s="1344"/>
    </row>
    <row r="27" spans="2:14" ht="12.75" customHeight="1" x14ac:dyDescent="0.2">
      <c r="B27" s="1345"/>
      <c r="C27" s="1346"/>
      <c r="D27" s="1347"/>
      <c r="E27" s="1348"/>
      <c r="F27" s="1348"/>
      <c r="G27" s="1348"/>
      <c r="H27" s="1348"/>
      <c r="I27" s="1348"/>
      <c r="J27" s="1348"/>
      <c r="K27" s="1348"/>
      <c r="L27" s="1348"/>
      <c r="M27" s="1348"/>
      <c r="N27" s="1344"/>
    </row>
    <row r="28" spans="2:14" ht="13.5" customHeight="1" x14ac:dyDescent="0.2">
      <c r="B28" s="1282" t="s">
        <v>1836</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1947</v>
      </c>
      <c r="C30" s="1352"/>
      <c r="D30" s="1353"/>
      <c r="E30" s="1354"/>
      <c r="F30" s="1354"/>
      <c r="G30" s="1354"/>
      <c r="H30" s="1354"/>
      <c r="I30" s="317"/>
      <c r="J30" s="317"/>
    </row>
    <row r="31" spans="2:14" x14ac:dyDescent="0.2">
      <c r="B31" s="1277"/>
      <c r="C31" s="1355"/>
      <c r="D31" s="1356"/>
      <c r="E31" s="1278"/>
      <c r="F31" s="1278"/>
      <c r="G31" s="317"/>
      <c r="H31" s="317"/>
      <c r="I31" s="317"/>
      <c r="J31" s="317"/>
    </row>
    <row r="32" spans="2:14" ht="13.5" customHeight="1" x14ac:dyDescent="0.2">
      <c r="B32" s="1276" t="s">
        <v>1307</v>
      </c>
      <c r="G32" s="317"/>
      <c r="H32" s="317"/>
      <c r="I32" s="317"/>
      <c r="J32" s="317"/>
    </row>
    <row r="33" spans="2:13" ht="13.5" customHeight="1" x14ac:dyDescent="0.2">
      <c r="B33" s="1359"/>
      <c r="C33" s="1360"/>
      <c r="D33" s="1361"/>
      <c r="E33" s="1297"/>
      <c r="F33" s="1297"/>
      <c r="G33" s="1297"/>
      <c r="H33" s="1297"/>
      <c r="I33" s="1297"/>
      <c r="J33" s="1297"/>
      <c r="K33" s="1362"/>
      <c r="L33" s="1362"/>
      <c r="M33" s="1297"/>
    </row>
    <row r="34" spans="2:13" ht="9.6" customHeight="1" x14ac:dyDescent="0.2">
      <c r="B34" s="1363"/>
      <c r="G34" s="317"/>
      <c r="H34" s="317"/>
      <c r="I34" s="317"/>
      <c r="J34" s="317"/>
    </row>
    <row r="35" spans="2:13" ht="11.25" customHeight="1" x14ac:dyDescent="0.2">
      <c r="B35" s="1364" t="s">
        <v>1837</v>
      </c>
      <c r="C35" s="1365"/>
      <c r="D35" s="1365"/>
      <c r="E35" s="1365"/>
      <c r="F35" s="1365"/>
      <c r="G35" s="1365"/>
      <c r="H35" s="1365"/>
      <c r="I35" s="1366"/>
      <c r="J35" s="1366"/>
      <c r="K35" s="1366"/>
      <c r="L35" s="1366"/>
      <c r="M35" s="1366"/>
    </row>
    <row r="36" spans="2:13" ht="11.25" customHeight="1" x14ac:dyDescent="0.2">
      <c r="B36" s="1367" t="s">
        <v>1665</v>
      </c>
      <c r="C36" s="1366"/>
      <c r="D36" s="1366"/>
      <c r="E36" s="1366"/>
      <c r="F36" s="1366"/>
      <c r="G36" s="1366"/>
      <c r="H36" s="1366"/>
      <c r="I36" s="1366"/>
      <c r="J36" s="1366"/>
      <c r="K36" s="1366"/>
      <c r="L36" s="1366"/>
      <c r="M36" s="1366"/>
    </row>
    <row r="37" spans="2:13" ht="3.95" customHeight="1" x14ac:dyDescent="0.2">
      <c r="B37" s="1367"/>
      <c r="C37" s="1366"/>
      <c r="D37" s="1366"/>
      <c r="E37" s="1366"/>
      <c r="F37" s="1366"/>
      <c r="G37" s="1366"/>
      <c r="H37" s="1366"/>
      <c r="I37" s="1366"/>
      <c r="J37" s="1366"/>
      <c r="K37" s="1366"/>
      <c r="L37" s="1366"/>
      <c r="M37" s="1366"/>
    </row>
    <row r="38" spans="2:13" ht="11.25" customHeight="1" x14ac:dyDescent="0.2">
      <c r="B38" s="1364" t="s">
        <v>1838</v>
      </c>
      <c r="C38" s="1366"/>
      <c r="D38" s="1366"/>
      <c r="E38" s="1366"/>
      <c r="F38" s="1366"/>
      <c r="G38" s="1366"/>
      <c r="H38" s="1366"/>
      <c r="I38" s="1366"/>
      <c r="J38" s="1366"/>
      <c r="K38" s="1366"/>
      <c r="L38" s="1366"/>
      <c r="M38" s="1366"/>
    </row>
    <row r="39" spans="2:13" ht="11.25" customHeight="1" x14ac:dyDescent="0.2">
      <c r="B39" s="1300" t="s">
        <v>1666</v>
      </c>
      <c r="C39" s="1368"/>
      <c r="D39" s="1369"/>
      <c r="E39" s="1300"/>
      <c r="F39" s="1300"/>
      <c r="G39" s="1300"/>
      <c r="H39" s="1300"/>
      <c r="I39" s="1300"/>
      <c r="J39" s="1300"/>
      <c r="K39" s="1370"/>
      <c r="L39" s="1370"/>
      <c r="M39" s="1300"/>
    </row>
    <row r="40" spans="2:13" ht="3.95" customHeight="1" x14ac:dyDescent="0.2">
      <c r="B40" s="1300"/>
      <c r="C40" s="1368"/>
      <c r="D40" s="1369"/>
      <c r="E40" s="1300"/>
      <c r="F40" s="1300"/>
      <c r="G40" s="1300"/>
      <c r="H40" s="1300"/>
      <c r="I40" s="1300"/>
      <c r="J40" s="1300"/>
      <c r="K40" s="1370"/>
      <c r="L40" s="1370"/>
      <c r="M40" s="1300"/>
    </row>
    <row r="41" spans="2:13" ht="11.25" customHeight="1" x14ac:dyDescent="0.2">
      <c r="B41" s="1371" t="s">
        <v>1839</v>
      </c>
      <c r="C41" s="1368"/>
      <c r="D41" s="1369"/>
      <c r="E41" s="1300"/>
      <c r="F41" s="1300"/>
      <c r="G41" s="1300"/>
      <c r="H41" s="1300"/>
      <c r="I41" s="1300"/>
      <c r="J41" s="1300"/>
      <c r="K41" s="1370"/>
      <c r="L41" s="1370"/>
      <c r="M41" s="1300"/>
    </row>
    <row r="42" spans="2:13" ht="3.95" customHeight="1" x14ac:dyDescent="0.2">
      <c r="B42" s="1371"/>
      <c r="C42" s="1368"/>
      <c r="D42" s="1369"/>
      <c r="E42" s="1300"/>
      <c r="F42" s="1300"/>
      <c r="G42" s="1300"/>
      <c r="H42" s="1300"/>
      <c r="I42" s="1300"/>
      <c r="J42" s="1300"/>
      <c r="K42" s="1370"/>
      <c r="L42" s="1370"/>
      <c r="M42" s="1300"/>
    </row>
    <row r="43" spans="2:13" ht="11.25" customHeight="1" x14ac:dyDescent="0.2">
      <c r="B43" s="1372" t="s">
        <v>1840</v>
      </c>
      <c r="C43" s="1368"/>
      <c r="D43" s="1369"/>
      <c r="E43" s="1300"/>
      <c r="F43" s="1300"/>
      <c r="G43" s="1300"/>
      <c r="H43" s="1300"/>
      <c r="I43" s="1300"/>
      <c r="J43" s="1300"/>
      <c r="K43" s="1370"/>
      <c r="L43" s="1370"/>
      <c r="M43" s="1300"/>
    </row>
    <row r="44" spans="2:13" ht="11.25" customHeight="1" x14ac:dyDescent="0.2">
      <c r="B44" s="1300" t="s">
        <v>1667</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73"/>
    </row>
    <row r="48" spans="2:13" ht="13.5" customHeight="1" x14ac:dyDescent="0.2">
      <c r="M48" s="1373"/>
    </row>
    <row r="49" spans="7:13" ht="13.5" customHeight="1" x14ac:dyDescent="0.2">
      <c r="M49" s="137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4" t="str">
        <f>'Single Audit Cover'!A7</f>
        <v>West Carroll CUSD 314</v>
      </c>
      <c r="C1" s="2500"/>
      <c r="D1" s="2500"/>
      <c r="E1" s="2500"/>
      <c r="F1" s="2500"/>
      <c r="G1" s="2500"/>
      <c r="H1" s="2500"/>
      <c r="I1" s="2500"/>
      <c r="J1" s="2500"/>
      <c r="K1" s="2500"/>
      <c r="L1" s="2500"/>
      <c r="M1" s="2500"/>
    </row>
    <row r="2" spans="2:14" ht="15" x14ac:dyDescent="0.2">
      <c r="B2" s="2489">
        <f>'Single Audit Cover'!E7</f>
        <v>8008314026</v>
      </c>
      <c r="C2" s="2489"/>
      <c r="D2" s="2489"/>
      <c r="E2" s="2489"/>
      <c r="F2" s="2489"/>
      <c r="G2" s="2489"/>
      <c r="H2" s="2489"/>
      <c r="I2" s="2489"/>
      <c r="J2" s="2489"/>
      <c r="K2" s="2489"/>
      <c r="L2" s="2489"/>
      <c r="M2" s="2489"/>
      <c r="N2" s="1302"/>
    </row>
    <row r="3" spans="2:14" ht="15" x14ac:dyDescent="0.2">
      <c r="B3" s="2501" t="s">
        <v>1280</v>
      </c>
      <c r="C3" s="2501"/>
      <c r="D3" s="2501"/>
      <c r="E3" s="2501"/>
      <c r="F3" s="2501"/>
      <c r="G3" s="2501"/>
      <c r="H3" s="2501"/>
      <c r="I3" s="2501"/>
      <c r="J3" s="2501"/>
      <c r="K3" s="2501"/>
      <c r="L3" s="2501"/>
      <c r="M3" s="2501"/>
      <c r="N3" s="1302"/>
    </row>
    <row r="4" spans="2:14" ht="15" x14ac:dyDescent="0.2">
      <c r="B4" s="2502" t="str">
        <f>'Single Audit Cover'!A4</f>
        <v>Year Ending June 30, 2018</v>
      </c>
      <c r="C4" s="2502"/>
      <c r="D4" s="2502"/>
      <c r="E4" s="2502"/>
      <c r="F4" s="2502"/>
      <c r="G4" s="2502"/>
      <c r="H4" s="2502"/>
      <c r="I4" s="2502"/>
      <c r="J4" s="2502"/>
      <c r="K4" s="2502"/>
      <c r="L4" s="2502"/>
      <c r="M4" s="250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75" t="s">
        <v>2130</v>
      </c>
      <c r="C11" s="1974" t="s">
        <v>2126</v>
      </c>
      <c r="D11" s="1342" t="s">
        <v>2133</v>
      </c>
      <c r="E11" s="1343">
        <v>196332</v>
      </c>
      <c r="F11" s="1343">
        <v>24953</v>
      </c>
      <c r="G11" s="1343">
        <v>228310</v>
      </c>
      <c r="H11" s="1343">
        <v>0</v>
      </c>
      <c r="I11" s="1343">
        <v>0</v>
      </c>
      <c r="J11" s="1343">
        <v>0</v>
      </c>
      <c r="K11" s="1343">
        <v>0</v>
      </c>
      <c r="L11" s="1340">
        <f t="shared" ref="L11:L27" si="0">+G11+I11+K11</f>
        <v>228310</v>
      </c>
      <c r="M11" s="1343">
        <v>228310</v>
      </c>
    </row>
    <row r="12" spans="2:14" ht="20.100000000000001" customHeight="1" x14ac:dyDescent="0.2">
      <c r="B12" s="1975" t="s">
        <v>2130</v>
      </c>
      <c r="C12" s="1974" t="s">
        <v>2126</v>
      </c>
      <c r="D12" s="1342" t="s">
        <v>2134</v>
      </c>
      <c r="E12" s="1343">
        <v>0</v>
      </c>
      <c r="F12" s="1343">
        <v>415360</v>
      </c>
      <c r="G12" s="1343">
        <v>0</v>
      </c>
      <c r="H12" s="1343">
        <v>0</v>
      </c>
      <c r="I12" s="1343">
        <v>496217</v>
      </c>
      <c r="J12" s="1343">
        <v>0</v>
      </c>
      <c r="K12" s="1343">
        <v>0</v>
      </c>
      <c r="L12" s="1340">
        <f t="shared" si="0"/>
        <v>496217</v>
      </c>
      <c r="M12" s="1343">
        <v>541947</v>
      </c>
    </row>
    <row r="13" spans="2:14" ht="20.100000000000001" customHeight="1" x14ac:dyDescent="0.2">
      <c r="B13" s="1975" t="s">
        <v>2131</v>
      </c>
      <c r="C13" s="1974" t="s">
        <v>2126</v>
      </c>
      <c r="D13" s="1339" t="s">
        <v>2135</v>
      </c>
      <c r="E13" s="1340">
        <v>3406</v>
      </c>
      <c r="F13" s="1340">
        <v>0</v>
      </c>
      <c r="G13" s="1340">
        <v>3406</v>
      </c>
      <c r="H13" s="1340">
        <v>0</v>
      </c>
      <c r="I13" s="1340">
        <v>0</v>
      </c>
      <c r="J13" s="1340">
        <v>0</v>
      </c>
      <c r="K13" s="1340">
        <v>0</v>
      </c>
      <c r="L13" s="1958">
        <f t="shared" si="0"/>
        <v>3406</v>
      </c>
      <c r="M13" s="1343" t="s">
        <v>2088</v>
      </c>
    </row>
    <row r="14" spans="2:14" ht="20.100000000000001" customHeight="1" x14ac:dyDescent="0.2">
      <c r="B14" s="1979" t="s">
        <v>2131</v>
      </c>
      <c r="C14" s="1978" t="s">
        <v>2126</v>
      </c>
      <c r="D14" s="1342" t="s">
        <v>2136</v>
      </c>
      <c r="E14" s="1959">
        <v>0</v>
      </c>
      <c r="F14" s="1959">
        <v>2299</v>
      </c>
      <c r="G14" s="1959">
        <v>0</v>
      </c>
      <c r="H14" s="1959">
        <v>0</v>
      </c>
      <c r="I14" s="1959">
        <v>2299</v>
      </c>
      <c r="J14" s="1959">
        <v>0</v>
      </c>
      <c r="K14" s="1959">
        <v>0</v>
      </c>
      <c r="L14" s="1958">
        <f t="shared" si="0"/>
        <v>2299</v>
      </c>
      <c r="M14" s="1343" t="s">
        <v>2088</v>
      </c>
    </row>
    <row r="15" spans="2:14" ht="20.100000000000001" customHeight="1" x14ac:dyDescent="0.2">
      <c r="B15" s="1979" t="s">
        <v>2137</v>
      </c>
      <c r="C15" s="1341"/>
      <c r="D15" s="1342"/>
      <c r="E15" s="1959">
        <f>+E14+E13+E12+E11+' SEFA (2)'!E26+' SEFA (2)'!E24+' SEFA (2)'!E23+' SEFA (2)'!E22</f>
        <v>231063</v>
      </c>
      <c r="F15" s="1959">
        <f>+F14+F13+F12+F11+' SEFA (2)'!F26+' SEFA (2)'!F24+' SEFA (2)'!F23+' SEFA (2)'!F22</f>
        <v>446336</v>
      </c>
      <c r="G15" s="1959">
        <f>+G14+G13+G12+G11+' SEFA (2)'!G26+' SEFA (2)'!G24+' SEFA (2)'!G23+' SEFA (2)'!G22</f>
        <v>231716</v>
      </c>
      <c r="H15" s="1959">
        <f>+H14+H13+H12+H11+' SEFA (2)'!H26+' SEFA (2)'!H24+' SEFA (2)'!H23+' SEFA (2)'!H22</f>
        <v>0</v>
      </c>
      <c r="I15" s="1959">
        <f>+I14+I13+I12+I11+' SEFA (2)'!I26+' SEFA (2)'!I24+' SEFA (2)'!I23+' SEFA (2)'!I22</f>
        <v>512240</v>
      </c>
      <c r="J15" s="1959">
        <f>+J14+J13+J12+J11+' SEFA (2)'!J26+' SEFA (2)'!J24+' SEFA (2)'!J23+' SEFA (2)'!J22</f>
        <v>0</v>
      </c>
      <c r="K15" s="1959">
        <f>+K14+K13+K12+K11+' SEFA (2)'!K26+' SEFA (2)'!K24+' SEFA (2)'!K23+' SEFA (2)'!K22</f>
        <v>0</v>
      </c>
      <c r="L15" s="1958">
        <f t="shared" si="0"/>
        <v>743956</v>
      </c>
      <c r="M15" s="1343"/>
    </row>
    <row r="16" spans="2:14" ht="20.100000000000001" customHeight="1" x14ac:dyDescent="0.2">
      <c r="B16" s="1979" t="s">
        <v>2138</v>
      </c>
      <c r="C16" s="1978" t="s">
        <v>2139</v>
      </c>
      <c r="D16" s="1342" t="s">
        <v>2142</v>
      </c>
      <c r="E16" s="1343">
        <v>13189</v>
      </c>
      <c r="F16" s="1343">
        <v>892</v>
      </c>
      <c r="G16" s="1343">
        <v>14081</v>
      </c>
      <c r="H16" s="1343">
        <v>0</v>
      </c>
      <c r="I16" s="1343">
        <v>0</v>
      </c>
      <c r="J16" s="1343">
        <v>0</v>
      </c>
      <c r="K16" s="1343">
        <v>0</v>
      </c>
      <c r="L16" s="1340">
        <f t="shared" si="0"/>
        <v>14081</v>
      </c>
      <c r="M16" s="1343">
        <v>14081</v>
      </c>
    </row>
    <row r="17" spans="2:14" ht="20.100000000000001" customHeight="1" x14ac:dyDescent="0.2">
      <c r="B17" s="1979" t="s">
        <v>2140</v>
      </c>
      <c r="C17" s="1978" t="s">
        <v>2139</v>
      </c>
      <c r="D17" s="1342" t="s">
        <v>2143</v>
      </c>
      <c r="E17" s="1959">
        <v>0</v>
      </c>
      <c r="F17" s="1959">
        <v>13642</v>
      </c>
      <c r="G17" s="1959">
        <v>0</v>
      </c>
      <c r="H17" s="1959">
        <v>0</v>
      </c>
      <c r="I17" s="1959">
        <v>14072</v>
      </c>
      <c r="J17" s="1959">
        <v>0</v>
      </c>
      <c r="K17" s="1959">
        <v>0</v>
      </c>
      <c r="L17" s="1958">
        <f t="shared" si="0"/>
        <v>14072</v>
      </c>
      <c r="M17" s="1343">
        <v>14081</v>
      </c>
    </row>
    <row r="18" spans="2:14" ht="20.100000000000001" customHeight="1" x14ac:dyDescent="0.2">
      <c r="B18" s="1979" t="s">
        <v>2141</v>
      </c>
      <c r="C18" s="1978"/>
      <c r="D18" s="1342"/>
      <c r="E18" s="1959">
        <f>SUM(E16:E17)</f>
        <v>13189</v>
      </c>
      <c r="F18" s="1959">
        <f>SUM(F16:F17)</f>
        <v>14534</v>
      </c>
      <c r="G18" s="1959">
        <f t="shared" ref="G18" si="1">SUM(G16:G17)</f>
        <v>14081</v>
      </c>
      <c r="H18" s="1959">
        <f t="shared" ref="H18" si="2">SUM(H16:H17)</f>
        <v>0</v>
      </c>
      <c r="I18" s="1959">
        <f t="shared" ref="I18" si="3">SUM(I16:I17)</f>
        <v>14072</v>
      </c>
      <c r="J18" s="1959">
        <f t="shared" ref="J18" si="4">SUM(J16:J17)</f>
        <v>0</v>
      </c>
      <c r="K18" s="1959">
        <f t="shared" ref="K18" si="5">SUM(K16:K17)</f>
        <v>0</v>
      </c>
      <c r="L18" s="1958">
        <f t="shared" si="0"/>
        <v>28153</v>
      </c>
      <c r="M18" s="1343"/>
    </row>
    <row r="19" spans="2:14" ht="20.100000000000001" customHeight="1" x14ac:dyDescent="0.2">
      <c r="B19" s="1977" t="s">
        <v>2144</v>
      </c>
      <c r="C19" s="1976"/>
      <c r="D19" s="1342"/>
      <c r="E19" s="1343"/>
      <c r="F19" s="1343"/>
      <c r="G19" s="1343"/>
      <c r="H19" s="1343"/>
      <c r="I19" s="1343"/>
      <c r="J19" s="1343"/>
      <c r="K19" s="1343"/>
      <c r="L19" s="1958">
        <f t="shared" si="0"/>
        <v>0</v>
      </c>
      <c r="M19" s="1343"/>
    </row>
    <row r="20" spans="2:14" ht="20.100000000000001" customHeight="1" x14ac:dyDescent="0.2">
      <c r="B20" s="1977" t="s">
        <v>2145</v>
      </c>
      <c r="C20" s="1976" t="s">
        <v>2146</v>
      </c>
      <c r="D20" s="1342" t="s">
        <v>2147</v>
      </c>
      <c r="E20" s="1959">
        <v>9344</v>
      </c>
      <c r="F20" s="1959">
        <v>0</v>
      </c>
      <c r="G20" s="1959">
        <v>9344</v>
      </c>
      <c r="H20" s="1959">
        <v>0</v>
      </c>
      <c r="I20" s="1959">
        <v>0</v>
      </c>
      <c r="J20" s="1959">
        <v>0</v>
      </c>
      <c r="K20" s="1959">
        <v>0</v>
      </c>
      <c r="L20" s="1958">
        <f t="shared" si="0"/>
        <v>9344</v>
      </c>
      <c r="M20" s="1343">
        <v>9344</v>
      </c>
    </row>
    <row r="21" spans="2:14" ht="20.100000000000001" customHeight="1" x14ac:dyDescent="0.2">
      <c r="B21" s="1979" t="s">
        <v>2148</v>
      </c>
      <c r="C21" s="1341"/>
      <c r="D21" s="1342"/>
      <c r="E21" s="1959">
        <f>SUM(E20)</f>
        <v>9344</v>
      </c>
      <c r="F21" s="1959">
        <f t="shared" ref="F21" si="6">SUM(F20)</f>
        <v>0</v>
      </c>
      <c r="G21" s="1959">
        <f t="shared" ref="G21" si="7">SUM(G20)</f>
        <v>9344</v>
      </c>
      <c r="H21" s="1959">
        <f t="shared" ref="H21" si="8">SUM(H20)</f>
        <v>0</v>
      </c>
      <c r="I21" s="1959">
        <f t="shared" ref="I21" si="9">SUM(I20)</f>
        <v>0</v>
      </c>
      <c r="J21" s="1959">
        <f t="shared" ref="J21" si="10">SUM(J20)</f>
        <v>0</v>
      </c>
      <c r="K21" s="1959">
        <f t="shared" ref="K21" si="11">SUM(K20)</f>
        <v>0</v>
      </c>
      <c r="L21" s="1958">
        <f t="shared" si="0"/>
        <v>9344</v>
      </c>
      <c r="M21" s="1343"/>
    </row>
    <row r="22" spans="2:14" ht="20.100000000000001" customHeight="1" x14ac:dyDescent="0.2">
      <c r="B22" s="1979" t="s">
        <v>2149</v>
      </c>
      <c r="C22" s="1341"/>
      <c r="D22" s="1342"/>
      <c r="E22" s="1959">
        <f>+E21+E18+E15+' SEFA (2)'!E21+' SEFA (2)'!E17</f>
        <v>660914</v>
      </c>
      <c r="F22" s="1959">
        <f>+F21+F18+F15+' SEFA (2)'!F21+' SEFA (2)'!F17</f>
        <v>790809</v>
      </c>
      <c r="G22" s="1959">
        <f>+G21+G18+G15+' SEFA (2)'!G21+' SEFA (2)'!G17</f>
        <v>654903</v>
      </c>
      <c r="H22" s="1959">
        <f>+H21+H18+H15+' SEFA (2)'!H21+' SEFA (2)'!H17</f>
        <v>0</v>
      </c>
      <c r="I22" s="1959">
        <f>+I21+I18+I15+' SEFA (2)'!I21+' SEFA (2)'!I17</f>
        <v>801229</v>
      </c>
      <c r="J22" s="1959">
        <f>+J21+J18+J15+' SEFA (2)'!J21+' SEFA (2)'!J17</f>
        <v>0</v>
      </c>
      <c r="K22" s="1959">
        <f>+K21+K18+K15+' SEFA (2)'!K21+' SEFA (2)'!K17</f>
        <v>0</v>
      </c>
      <c r="L22" s="1958">
        <f t="shared" si="0"/>
        <v>1456132</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979" t="s">
        <v>2150</v>
      </c>
      <c r="D24" s="1342"/>
      <c r="E24" s="1343"/>
      <c r="F24" s="1343"/>
      <c r="G24" s="1343"/>
      <c r="H24" s="1343"/>
      <c r="I24" s="1343"/>
      <c r="J24" s="1343"/>
      <c r="K24" s="1343"/>
      <c r="L24" s="1340"/>
      <c r="M24" s="1343"/>
    </row>
    <row r="25" spans="2:14" ht="20.100000000000001" customHeight="1" x14ac:dyDescent="0.2">
      <c r="B25" s="1979" t="s">
        <v>2151</v>
      </c>
      <c r="C25" s="1341"/>
      <c r="D25" s="1342"/>
      <c r="E25" s="1343"/>
      <c r="F25" s="1343"/>
      <c r="G25" s="1343"/>
      <c r="H25" s="1343"/>
      <c r="I25" s="1343"/>
      <c r="J25" s="1343"/>
      <c r="K25" s="1343"/>
      <c r="L25" s="1340"/>
      <c r="M25" s="1343"/>
    </row>
    <row r="26" spans="2:14" ht="20.100000000000001" customHeight="1" x14ac:dyDescent="0.2">
      <c r="B26" s="1979" t="s">
        <v>2152</v>
      </c>
      <c r="C26" s="1341">
        <v>93.778000000000006</v>
      </c>
      <c r="D26" s="1342" t="s">
        <v>2153</v>
      </c>
      <c r="E26" s="1343">
        <v>16756</v>
      </c>
      <c r="F26" s="1343">
        <v>0</v>
      </c>
      <c r="G26" s="1343">
        <v>16756</v>
      </c>
      <c r="H26" s="1343">
        <v>0</v>
      </c>
      <c r="I26" s="1343">
        <v>0</v>
      </c>
      <c r="J26" s="1343">
        <v>0</v>
      </c>
      <c r="K26" s="1343">
        <v>0</v>
      </c>
      <c r="L26" s="1340">
        <f t="shared" si="0"/>
        <v>16756</v>
      </c>
      <c r="M26" s="1343" t="s">
        <v>2088</v>
      </c>
    </row>
    <row r="27" spans="2:14" ht="20.100000000000001" customHeight="1" x14ac:dyDescent="0.2">
      <c r="B27" s="1979" t="s">
        <v>2152</v>
      </c>
      <c r="C27" s="1341">
        <v>93.778000000000006</v>
      </c>
      <c r="D27" s="1342" t="s">
        <v>2154</v>
      </c>
      <c r="E27" s="1343">
        <v>35150</v>
      </c>
      <c r="F27" s="1343">
        <v>5205</v>
      </c>
      <c r="G27" s="1343">
        <v>35150</v>
      </c>
      <c r="H27" s="1343">
        <v>0</v>
      </c>
      <c r="I27" s="1343">
        <v>5205</v>
      </c>
      <c r="J27" s="1343">
        <v>0</v>
      </c>
      <c r="K27" s="1343">
        <v>0</v>
      </c>
      <c r="L27" s="1340">
        <f t="shared" si="0"/>
        <v>40355</v>
      </c>
      <c r="M27" s="1343" t="s">
        <v>2088</v>
      </c>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1836</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1837</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1838</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1839</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1840</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9" zoomScaleNormal="100" workbookViewId="0">
      <selection activeCell="I22" sqref="I22:S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44" t="str">
        <f>'Single Audit Cover'!A7</f>
        <v>West Carroll CUSD 314</v>
      </c>
      <c r="C1" s="2500"/>
      <c r="D1" s="2500"/>
      <c r="E1" s="2500"/>
      <c r="F1" s="2500"/>
      <c r="G1" s="2500"/>
      <c r="H1" s="2500"/>
      <c r="I1" s="2500"/>
      <c r="J1" s="2500"/>
      <c r="K1" s="2500"/>
      <c r="L1" s="2500"/>
      <c r="M1" s="2500"/>
    </row>
    <row r="2" spans="2:14" ht="15" x14ac:dyDescent="0.2">
      <c r="B2" s="2489">
        <f>'Single Audit Cover'!E7</f>
        <v>8008314026</v>
      </c>
      <c r="C2" s="2489"/>
      <c r="D2" s="2489"/>
      <c r="E2" s="2489"/>
      <c r="F2" s="2489"/>
      <c r="G2" s="2489"/>
      <c r="H2" s="2489"/>
      <c r="I2" s="2489"/>
      <c r="J2" s="2489"/>
      <c r="K2" s="2489"/>
      <c r="L2" s="2489"/>
      <c r="M2" s="2489"/>
      <c r="N2" s="1302"/>
    </row>
    <row r="3" spans="2:14" ht="15" x14ac:dyDescent="0.2">
      <c r="B3" s="2501" t="s">
        <v>1280</v>
      </c>
      <c r="C3" s="2501"/>
      <c r="D3" s="2501"/>
      <c r="E3" s="2501"/>
      <c r="F3" s="2501"/>
      <c r="G3" s="2501"/>
      <c r="H3" s="2501"/>
      <c r="I3" s="2501"/>
      <c r="J3" s="2501"/>
      <c r="K3" s="2501"/>
      <c r="L3" s="2501"/>
      <c r="M3" s="2501"/>
      <c r="N3" s="1302"/>
    </row>
    <row r="4" spans="2:14" ht="15" x14ac:dyDescent="0.2">
      <c r="B4" s="2502" t="str">
        <f>'Single Audit Cover'!A4</f>
        <v>Year Ending June 30, 2018</v>
      </c>
      <c r="C4" s="2502"/>
      <c r="D4" s="2502"/>
      <c r="E4" s="2502"/>
      <c r="F4" s="2502"/>
      <c r="G4" s="2502"/>
      <c r="H4" s="2502"/>
      <c r="I4" s="2502"/>
      <c r="J4" s="2502"/>
      <c r="K4" s="2502"/>
      <c r="L4" s="2502"/>
      <c r="M4" s="250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79" t="s">
        <v>2152</v>
      </c>
      <c r="C11" s="1341">
        <v>93.778000000000006</v>
      </c>
      <c r="D11" s="1342" t="s">
        <v>2155</v>
      </c>
      <c r="E11" s="1959">
        <v>0</v>
      </c>
      <c r="F11" s="1959">
        <v>21691</v>
      </c>
      <c r="G11" s="1959">
        <v>0</v>
      </c>
      <c r="H11" s="1959">
        <v>0</v>
      </c>
      <c r="I11" s="1959">
        <v>21691</v>
      </c>
      <c r="J11" s="1959">
        <v>0</v>
      </c>
      <c r="K11" s="1959">
        <v>0</v>
      </c>
      <c r="L11" s="1958">
        <f>+G11+I11+K11</f>
        <v>21691</v>
      </c>
      <c r="M11" s="1340" t="s">
        <v>2088</v>
      </c>
    </row>
    <row r="12" spans="2:14" ht="20.100000000000001" customHeight="1" x14ac:dyDescent="0.2">
      <c r="B12" s="1979" t="s">
        <v>2156</v>
      </c>
      <c r="C12" s="1341"/>
      <c r="D12" s="1342"/>
      <c r="E12" s="1959">
        <f>+E11+' SEFA (3)'!E27+' SEFA (3)'!E26</f>
        <v>51906</v>
      </c>
      <c r="F12" s="1959">
        <f>+F11+' SEFA (3)'!F27+' SEFA (3)'!F26</f>
        <v>26896</v>
      </c>
      <c r="G12" s="1959">
        <f>+G11+' SEFA (3)'!G27+' SEFA (3)'!G26</f>
        <v>51906</v>
      </c>
      <c r="H12" s="1959">
        <f>+H11+' SEFA (3)'!H27+' SEFA (3)'!H26</f>
        <v>0</v>
      </c>
      <c r="I12" s="1959">
        <f>+I11+' SEFA (3)'!I27+' SEFA (3)'!I26</f>
        <v>26896</v>
      </c>
      <c r="J12" s="1959">
        <f>+J11+' SEFA (3)'!J27+' SEFA (3)'!J26</f>
        <v>0</v>
      </c>
      <c r="K12" s="1959">
        <f>+K11+' SEFA (3)'!K27+' SEFA (3)'!K26</f>
        <v>0</v>
      </c>
      <c r="L12" s="1958">
        <f t="shared" ref="L12:L27" si="0">+G12+I12+K12</f>
        <v>78802</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971" t="s">
        <v>2159</v>
      </c>
      <c r="C27" s="1341"/>
      <c r="D27" s="1342"/>
      <c r="E27" s="1343">
        <f>+E12+' SEFA (3)'!E22+' SEFA'!E27</f>
        <v>1243634</v>
      </c>
      <c r="F27" s="1343">
        <f>+F12+' SEFA (3)'!F22+' SEFA'!F27</f>
        <v>1400898</v>
      </c>
      <c r="G27" s="1343">
        <f>+G12+' SEFA (3)'!G22+' SEFA'!G27</f>
        <v>1237623</v>
      </c>
      <c r="H27" s="1343">
        <f>+H12+' SEFA (3)'!H22+' SEFA'!H27</f>
        <v>0</v>
      </c>
      <c r="I27" s="1343">
        <f>+I12+' SEFA (3)'!I22+' SEFA'!I27</f>
        <v>1411318</v>
      </c>
      <c r="J27" s="1343">
        <f>+J12+' SEFA (3)'!J22+' SEFA'!J27</f>
        <v>0</v>
      </c>
      <c r="K27" s="1343">
        <f>+K12+' SEFA (3)'!K22+' SEFA'!K27</f>
        <v>0</v>
      </c>
      <c r="L27" s="1340">
        <f t="shared" si="0"/>
        <v>2648941</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1836</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1947</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1307</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1837</v>
      </c>
      <c r="C36" s="1365"/>
      <c r="D36" s="1365"/>
      <c r="E36" s="1365"/>
      <c r="F36" s="1365"/>
      <c r="G36" s="1365"/>
      <c r="H36" s="1365"/>
      <c r="I36" s="1366"/>
      <c r="J36" s="1366"/>
      <c r="K36" s="1366"/>
      <c r="L36" s="1366"/>
      <c r="M36" s="1366"/>
    </row>
    <row r="37" spans="2:13" ht="11.25" customHeight="1" x14ac:dyDescent="0.2">
      <c r="B37" s="1367" t="s">
        <v>1665</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1838</v>
      </c>
      <c r="C39" s="1366"/>
      <c r="D39" s="1366"/>
      <c r="E39" s="1366"/>
      <c r="F39" s="1366"/>
      <c r="G39" s="1366"/>
      <c r="H39" s="1366"/>
      <c r="I39" s="1366"/>
      <c r="J39" s="1366"/>
      <c r="K39" s="1366"/>
      <c r="L39" s="1366"/>
      <c r="M39" s="1366"/>
    </row>
    <row r="40" spans="2:13" ht="11.25" customHeight="1" x14ac:dyDescent="0.2">
      <c r="B40" s="1300" t="s">
        <v>1666</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1839</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1840</v>
      </c>
      <c r="C44" s="1368"/>
      <c r="D44" s="1369"/>
      <c r="E44" s="1300"/>
      <c r="F44" s="1300"/>
      <c r="G44" s="1300"/>
      <c r="H44" s="1300"/>
      <c r="I44" s="1300"/>
      <c r="J44" s="1300"/>
      <c r="K44" s="1370"/>
      <c r="L44" s="1370"/>
      <c r="M44" s="1300"/>
    </row>
    <row r="45" spans="2:13" ht="11.25" customHeight="1" x14ac:dyDescent="0.2">
      <c r="B45" s="1300" t="s">
        <v>1667</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7" zoomScale="110" zoomScaleNormal="110" workbookViewId="0">
      <selection activeCell="I22" sqref="I22:S2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7" t="str">
        <f>'Single Audit Cover'!A7</f>
        <v>West Carroll CUSD 314</v>
      </c>
      <c r="C1" s="2508"/>
      <c r="D1" s="2508"/>
      <c r="E1" s="2508"/>
      <c r="F1" s="2508"/>
      <c r="G1" s="2508"/>
      <c r="H1" s="2508"/>
      <c r="I1" s="2508"/>
      <c r="J1" s="1422"/>
    </row>
    <row r="2" spans="2:10" s="317" customFormat="1" ht="12.75" customHeight="1" x14ac:dyDescent="0.2">
      <c r="B2" s="2509">
        <f>'Single Audit Cover'!E7</f>
        <v>8008314026</v>
      </c>
      <c r="C2" s="2510"/>
      <c r="D2" s="2510"/>
      <c r="E2" s="2510"/>
      <c r="F2" s="2510"/>
      <c r="G2" s="2510"/>
      <c r="H2" s="2510"/>
      <c r="I2" s="2510"/>
      <c r="J2" s="1422"/>
    </row>
    <row r="3" spans="2:10" s="317" customFormat="1" ht="12.75" customHeight="1" x14ac:dyDescent="0.2">
      <c r="B3" s="2511" t="s">
        <v>1346</v>
      </c>
      <c r="C3" s="2512"/>
      <c r="D3" s="2512"/>
      <c r="E3" s="2512"/>
      <c r="F3" s="2512"/>
      <c r="G3" s="2512"/>
      <c r="H3" s="2512"/>
      <c r="I3" s="2512"/>
      <c r="J3" s="1423"/>
    </row>
    <row r="4" spans="2:10" s="317" customFormat="1" ht="12.75" customHeight="1" x14ac:dyDescent="0.2">
      <c r="B4" s="2511" t="str">
        <f>'Single Audit Cover'!A4</f>
        <v>Year Ending June 30, 2018</v>
      </c>
      <c r="C4" s="2512"/>
      <c r="D4" s="2512"/>
      <c r="E4" s="2512"/>
      <c r="F4" s="2512"/>
      <c r="G4" s="2512"/>
      <c r="H4" s="2512"/>
      <c r="I4" s="2512"/>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11" t="s">
        <v>1345</v>
      </c>
      <c r="C7" s="2512"/>
      <c r="D7" s="2512"/>
      <c r="E7" s="2512"/>
      <c r="F7" s="2512"/>
      <c r="G7" s="2512"/>
      <c r="H7" s="2512"/>
      <c r="I7" s="2512"/>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513" t="s">
        <v>2160</v>
      </c>
      <c r="D11" s="2513"/>
      <c r="E11" s="1432"/>
      <c r="F11" s="1432"/>
      <c r="G11" s="1432"/>
    </row>
    <row r="12" spans="2:10" s="317" customFormat="1" ht="11.45" customHeight="1" x14ac:dyDescent="0.2">
      <c r="B12" s="1357"/>
      <c r="C12" s="1433" t="s">
        <v>1516</v>
      </c>
      <c r="D12" s="1434"/>
      <c r="E12" s="1258"/>
    </row>
    <row r="13" spans="2:10" s="317" customFormat="1" ht="6"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t="s">
        <v>2073</v>
      </c>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514" t="s">
        <v>2161</v>
      </c>
      <c r="E29" s="2514"/>
      <c r="F29" s="2514"/>
      <c r="G29" s="2514"/>
      <c r="H29" s="2514"/>
      <c r="I29" s="2514"/>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t="s">
        <v>2073</v>
      </c>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515" t="s">
        <v>1850</v>
      </c>
      <c r="D37" s="2516"/>
      <c r="E37" s="2516"/>
      <c r="F37" s="2517"/>
      <c r="G37" s="2515" t="s">
        <v>1673</v>
      </c>
      <c r="H37" s="2516"/>
      <c r="I37" s="2517"/>
    </row>
    <row r="38" spans="2:9" ht="16.5" customHeight="1" x14ac:dyDescent="0.2">
      <c r="B38" s="1444" t="s">
        <v>2162</v>
      </c>
      <c r="C38" s="2503" t="s">
        <v>2163</v>
      </c>
      <c r="D38" s="2504"/>
      <c r="E38" s="2504"/>
      <c r="F38" s="2505"/>
      <c r="G38" s="2518">
        <v>583193</v>
      </c>
      <c r="H38" s="2519"/>
      <c r="I38" s="2520"/>
    </row>
    <row r="39" spans="2:9" ht="16.5" customHeight="1" x14ac:dyDescent="0.2">
      <c r="B39" s="1444"/>
      <c r="C39" s="2503"/>
      <c r="D39" s="2504"/>
      <c r="E39" s="2504"/>
      <c r="F39" s="2505"/>
      <c r="G39" s="2506"/>
      <c r="H39" s="2506"/>
      <c r="I39" s="2506"/>
    </row>
    <row r="40" spans="2:9" ht="16.5" customHeight="1" x14ac:dyDescent="0.2">
      <c r="B40" s="1444"/>
      <c r="C40" s="2503"/>
      <c r="D40" s="2504"/>
      <c r="E40" s="2504"/>
      <c r="F40" s="2505"/>
      <c r="G40" s="2506"/>
      <c r="H40" s="2506"/>
      <c r="I40" s="2506"/>
    </row>
    <row r="41" spans="2:9" ht="16.5" customHeight="1" x14ac:dyDescent="0.2">
      <c r="B41" s="1444"/>
      <c r="C41" s="2503"/>
      <c r="D41" s="2504"/>
      <c r="E41" s="2504"/>
      <c r="F41" s="2505"/>
      <c r="G41" s="2506"/>
      <c r="H41" s="2506"/>
      <c r="I41" s="2506"/>
    </row>
    <row r="42" spans="2:9" ht="16.5" customHeight="1" x14ac:dyDescent="0.2">
      <c r="B42" s="1444"/>
      <c r="C42" s="2503"/>
      <c r="D42" s="2504"/>
      <c r="E42" s="2504"/>
      <c r="F42" s="2505"/>
      <c r="G42" s="2506"/>
      <c r="H42" s="2506"/>
      <c r="I42" s="2506"/>
    </row>
    <row r="43" spans="2:9" ht="16.5" customHeight="1" x14ac:dyDescent="0.2">
      <c r="B43" s="1444"/>
      <c r="C43" s="2521" t="s">
        <v>1674</v>
      </c>
      <c r="D43" s="2522"/>
      <c r="E43" s="2522"/>
      <c r="F43" s="2523"/>
      <c r="G43" s="2524">
        <f>SUM(G38:I42)</f>
        <v>583193</v>
      </c>
      <c r="H43" s="2524"/>
      <c r="I43" s="2524"/>
    </row>
    <row r="44" spans="2:9" ht="12.75" customHeight="1" x14ac:dyDescent="0.2"/>
    <row r="45" spans="2:9" ht="12.75" customHeight="1" x14ac:dyDescent="0.2">
      <c r="B45" s="1435" t="s">
        <v>1948</v>
      </c>
      <c r="D45" s="2525">
        <v>1411318</v>
      </c>
      <c r="E45" s="2526"/>
    </row>
    <row r="46" spans="2:9" ht="5.25" customHeight="1" x14ac:dyDescent="0.2">
      <c r="B46" s="1445"/>
      <c r="D46" s="1446"/>
      <c r="E46" s="1447"/>
    </row>
    <row r="47" spans="2:9" ht="12.75" customHeight="1" x14ac:dyDescent="0.2">
      <c r="B47" s="1300" t="s">
        <v>1675</v>
      </c>
      <c r="C47" s="1300"/>
      <c r="D47" s="1448">
        <f>+G43/D45</f>
        <v>0.41322579319473002</v>
      </c>
      <c r="E47" s="1449"/>
      <c r="F47" s="1450"/>
      <c r="I47" s="1451"/>
    </row>
    <row r="48" spans="2:9" ht="9.9499999999999993" customHeight="1" x14ac:dyDescent="0.2"/>
    <row r="49" spans="1:9" x14ac:dyDescent="0.2">
      <c r="B49" s="1368" t="s">
        <v>1334</v>
      </c>
      <c r="C49" s="1282"/>
      <c r="D49" s="1282"/>
      <c r="E49" s="2527">
        <v>750000</v>
      </c>
      <c r="F49" s="2527"/>
      <c r="G49" s="2527"/>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7" t="str">
        <f>'Single Audit Cover'!A7</f>
        <v>West Carroll CUSD 314</v>
      </c>
      <c r="C1" s="2507"/>
      <c r="D1" s="2507"/>
      <c r="E1" s="2507"/>
      <c r="F1" s="2507"/>
      <c r="G1" s="2507"/>
      <c r="H1" s="2507"/>
      <c r="I1" s="2507"/>
      <c r="J1" s="2507"/>
      <c r="K1" s="2507"/>
      <c r="L1" s="1374"/>
      <c r="M1" s="1374"/>
    </row>
    <row r="2" spans="1:13" ht="12" customHeight="1" x14ac:dyDescent="0.2">
      <c r="B2" s="2509">
        <f>'Single Audit Cover'!E7</f>
        <v>8008314026</v>
      </c>
      <c r="C2" s="2509"/>
      <c r="D2" s="2509"/>
      <c r="E2" s="2509"/>
      <c r="F2" s="2509"/>
      <c r="G2" s="2509"/>
      <c r="H2" s="2509"/>
      <c r="I2" s="2509"/>
      <c r="J2" s="2509"/>
      <c r="K2" s="2509"/>
      <c r="L2" s="1375"/>
      <c r="M2" s="1376"/>
    </row>
    <row r="3" spans="1:13" ht="10.35" customHeight="1" x14ac:dyDescent="0.2">
      <c r="B3" s="2530" t="s">
        <v>1346</v>
      </c>
      <c r="C3" s="2530"/>
      <c r="D3" s="2530"/>
      <c r="E3" s="2530"/>
      <c r="F3" s="2530"/>
      <c r="G3" s="2530"/>
      <c r="H3" s="2530"/>
      <c r="I3" s="2530"/>
      <c r="J3" s="2530"/>
      <c r="K3" s="2530"/>
      <c r="L3" s="1377"/>
      <c r="M3" s="1377"/>
    </row>
    <row r="4" spans="1:13" ht="14.25" customHeight="1" x14ac:dyDescent="0.2">
      <c r="B4" s="2531" t="str">
        <f>'Single Audit Cover'!A4</f>
        <v>Year Ending June 30, 2018</v>
      </c>
      <c r="C4" s="2531"/>
      <c r="D4" s="2531"/>
      <c r="E4" s="2531"/>
      <c r="F4" s="2531"/>
      <c r="G4" s="2531"/>
      <c r="H4" s="2531"/>
      <c r="I4" s="2531"/>
      <c r="J4" s="2531"/>
      <c r="K4" s="2531"/>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31" t="s">
        <v>1362</v>
      </c>
      <c r="C7" s="2531"/>
      <c r="D7" s="2532"/>
      <c r="E7" s="2532"/>
      <c r="F7" s="2532"/>
      <c r="G7" s="2532"/>
      <c r="H7" s="2532"/>
      <c r="I7" s="2532"/>
      <c r="J7" s="2532"/>
      <c r="K7" s="253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c r="H10" s="1389" t="s">
        <v>1360</v>
      </c>
      <c r="I10" s="1388" t="s">
        <v>2073</v>
      </c>
      <c r="J10" s="1390" t="s">
        <v>1359</v>
      </c>
      <c r="K10" s="322"/>
      <c r="L10" s="1381"/>
    </row>
    <row r="11" spans="1:13" ht="13.5" customHeight="1" x14ac:dyDescent="0.2">
      <c r="B11" s="322"/>
      <c r="C11" s="322"/>
      <c r="D11" s="322"/>
      <c r="E11" s="322"/>
      <c r="F11" s="322"/>
      <c r="G11" s="1383"/>
      <c r="H11" s="322"/>
      <c r="I11" s="1391" t="s">
        <v>1358</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29" t="s">
        <v>2164</v>
      </c>
      <c r="C14" s="2529"/>
      <c r="D14" s="2529"/>
      <c r="E14" s="2529"/>
      <c r="F14" s="2529"/>
      <c r="G14" s="2529"/>
      <c r="H14" s="2529"/>
      <c r="I14" s="2529"/>
      <c r="J14" s="2529"/>
      <c r="K14" s="252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29" t="s">
        <v>2165</v>
      </c>
      <c r="C17" s="2529"/>
      <c r="D17" s="2529"/>
      <c r="E17" s="2529"/>
      <c r="F17" s="2529"/>
      <c r="G17" s="2529"/>
      <c r="H17" s="2529"/>
      <c r="I17" s="2529"/>
      <c r="J17" s="2529"/>
      <c r="K17" s="2529"/>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33" t="s">
        <v>2248</v>
      </c>
      <c r="C20" s="2533"/>
      <c r="D20" s="2534"/>
      <c r="E20" s="2534"/>
      <c r="F20" s="2534"/>
      <c r="G20" s="2534"/>
      <c r="H20" s="2534"/>
      <c r="I20" s="2534"/>
      <c r="J20" s="2534"/>
      <c r="K20" s="2534"/>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29" t="s">
        <v>2166</v>
      </c>
      <c r="C23" s="2529"/>
      <c r="D23" s="2529"/>
      <c r="E23" s="2529"/>
      <c r="F23" s="2529"/>
      <c r="G23" s="2529"/>
      <c r="H23" s="2529"/>
      <c r="I23" s="2529"/>
      <c r="J23" s="2529"/>
      <c r="K23" s="2529"/>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29" t="s">
        <v>2167</v>
      </c>
      <c r="C26" s="2529"/>
      <c r="D26" s="2529"/>
      <c r="E26" s="2529"/>
      <c r="F26" s="2529"/>
      <c r="G26" s="2529"/>
      <c r="H26" s="2529"/>
      <c r="I26" s="2529"/>
      <c r="J26" s="2529"/>
      <c r="K26" s="2529"/>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28" t="s">
        <v>2168</v>
      </c>
      <c r="C29" s="2528"/>
      <c r="D29" s="2529"/>
      <c r="E29" s="2529"/>
      <c r="F29" s="2529"/>
      <c r="G29" s="2529"/>
      <c r="H29" s="2529"/>
      <c r="I29" s="2529"/>
      <c r="J29" s="2529"/>
      <c r="K29" s="252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528" t="s">
        <v>2169</v>
      </c>
      <c r="C32" s="2528"/>
      <c r="D32" s="2529"/>
      <c r="E32" s="2529"/>
      <c r="F32" s="2529"/>
      <c r="G32" s="2529"/>
      <c r="H32" s="2529"/>
      <c r="I32" s="2529"/>
      <c r="J32" s="2529"/>
      <c r="K32" s="252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3" zoomScale="110" zoomScaleNormal="110" workbookViewId="0">
      <selection activeCell="I22" sqref="I22:S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West Carroll CUSD 314</v>
      </c>
      <c r="C1" s="2535"/>
      <c r="D1" s="2535"/>
      <c r="E1" s="2535"/>
      <c r="F1" s="2535"/>
      <c r="G1" s="2535"/>
      <c r="H1" s="2535"/>
      <c r="I1" s="2535"/>
      <c r="J1" s="2535"/>
      <c r="K1" s="2535"/>
      <c r="L1" s="1465"/>
    </row>
    <row r="2" spans="1:12" ht="12.75" customHeight="1" x14ac:dyDescent="0.2">
      <c r="B2" s="2536">
        <f>'Single Audit Cover'!E7</f>
        <v>8008314026</v>
      </c>
      <c r="C2" s="2536"/>
      <c r="D2" s="2536"/>
      <c r="E2" s="2536"/>
      <c r="F2" s="2536"/>
      <c r="G2" s="2536"/>
      <c r="H2" s="2536"/>
      <c r="I2" s="2536"/>
      <c r="J2" s="2536"/>
      <c r="K2" s="2536"/>
      <c r="L2" s="1466"/>
    </row>
    <row r="3" spans="1:12" ht="12.75" customHeight="1" x14ac:dyDescent="0.2">
      <c r="B3" s="2530" t="s">
        <v>1346</v>
      </c>
      <c r="C3" s="2530"/>
      <c r="D3" s="2530"/>
      <c r="E3" s="2530"/>
      <c r="F3" s="2530"/>
      <c r="G3" s="2530"/>
      <c r="H3" s="2530"/>
      <c r="I3" s="2530"/>
      <c r="J3" s="2530"/>
      <c r="K3" s="2530"/>
      <c r="L3" s="1377"/>
    </row>
    <row r="4" spans="1:12" ht="12.75" customHeight="1" x14ac:dyDescent="0.2">
      <c r="B4" s="2530" t="str">
        <f>'Single Audit Cover'!A4</f>
        <v>Year Ending June 30, 2018</v>
      </c>
      <c r="C4" s="2530"/>
      <c r="D4" s="2530"/>
      <c r="E4" s="2530"/>
      <c r="F4" s="2530"/>
      <c r="G4" s="2530"/>
      <c r="H4" s="2530"/>
      <c r="I4" s="2530"/>
      <c r="J4" s="2530"/>
      <c r="K4" s="2530"/>
      <c r="L4" s="1377"/>
    </row>
    <row r="5" spans="1:12" ht="5.25" customHeight="1" x14ac:dyDescent="0.2">
      <c r="B5" s="1260" t="s">
        <v>1230</v>
      </c>
      <c r="C5" s="1260"/>
      <c r="L5" s="322"/>
    </row>
    <row r="6" spans="1:12" ht="30.75" customHeight="1" x14ac:dyDescent="0.2">
      <c r="A6" s="322"/>
      <c r="B6" s="2537" t="s">
        <v>1374</v>
      </c>
      <c r="C6" s="2537"/>
      <c r="D6" s="2537"/>
      <c r="E6" s="2537"/>
      <c r="F6" s="2537"/>
      <c r="G6" s="2537"/>
      <c r="H6" s="2537"/>
      <c r="I6" s="2537"/>
      <c r="J6" s="2537"/>
      <c r="K6" s="253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2</v>
      </c>
      <c r="E8" s="322"/>
      <c r="F8" s="1384" t="s">
        <v>1361</v>
      </c>
      <c r="G8" s="1469"/>
      <c r="H8" s="1470" t="s">
        <v>1373</v>
      </c>
      <c r="I8" s="1469" t="s">
        <v>2073</v>
      </c>
      <c r="J8" s="1471" t="s">
        <v>1372</v>
      </c>
      <c r="L8" s="322"/>
    </row>
    <row r="9" spans="1:12" ht="13.5" customHeight="1" x14ac:dyDescent="0.2">
      <c r="D9" s="322"/>
      <c r="E9" s="322"/>
      <c r="F9" s="322"/>
      <c r="G9" s="1383"/>
      <c r="H9" s="322"/>
      <c r="I9" s="1472" t="s">
        <v>1358</v>
      </c>
      <c r="J9" s="322"/>
      <c r="K9" s="1473">
        <v>2015</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14" t="s">
        <v>2170</v>
      </c>
      <c r="G12" s="2514"/>
      <c r="H12" s="2514"/>
      <c r="I12" s="2514"/>
      <c r="J12" s="2514"/>
      <c r="K12" s="251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38" t="s">
        <v>2136</v>
      </c>
      <c r="E14" s="2538"/>
      <c r="F14" s="2538"/>
      <c r="H14" s="1475" t="s">
        <v>1369</v>
      </c>
      <c r="I14" s="2539" t="s">
        <v>2126</v>
      </c>
      <c r="J14" s="2539"/>
      <c r="K14" s="253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39" t="s">
        <v>2171</v>
      </c>
      <c r="E16" s="2539"/>
      <c r="F16" s="2539"/>
      <c r="G16" s="2539"/>
      <c r="H16" s="2539"/>
      <c r="I16" s="2539"/>
      <c r="J16" s="2539"/>
      <c r="K16" s="2539"/>
      <c r="L16" s="322"/>
    </row>
    <row r="17" spans="2:12" ht="13.5" customHeight="1" x14ac:dyDescent="0.2">
      <c r="B17" s="1387" t="s">
        <v>1367</v>
      </c>
      <c r="C17" s="1387"/>
      <c r="D17" s="2540" t="s">
        <v>2172</v>
      </c>
      <c r="E17" s="2540"/>
      <c r="F17" s="2540"/>
      <c r="G17" s="2540"/>
      <c r="H17" s="2540"/>
      <c r="I17" s="2540"/>
      <c r="J17" s="2540"/>
      <c r="K17" s="254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29" t="s">
        <v>2173</v>
      </c>
      <c r="C20" s="2529"/>
      <c r="D20" s="2529"/>
      <c r="E20" s="2529"/>
      <c r="F20" s="2529"/>
      <c r="G20" s="2529"/>
      <c r="H20" s="2529"/>
      <c r="I20" s="2529"/>
      <c r="J20" s="2529"/>
      <c r="K20" s="252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29" t="s">
        <v>2180</v>
      </c>
      <c r="C23" s="2529"/>
      <c r="D23" s="2529"/>
      <c r="E23" s="2529"/>
      <c r="F23" s="2529"/>
      <c r="G23" s="2529"/>
      <c r="H23" s="2529"/>
      <c r="I23" s="2529"/>
      <c r="J23" s="2529"/>
      <c r="K23" s="252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29" t="s">
        <v>2174</v>
      </c>
      <c r="C26" s="2529"/>
      <c r="D26" s="2529"/>
      <c r="E26" s="2529"/>
      <c r="F26" s="2529"/>
      <c r="G26" s="2529"/>
      <c r="H26" s="2529"/>
      <c r="I26" s="2529"/>
      <c r="J26" s="2529"/>
      <c r="K26" s="252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29" t="s">
        <v>2175</v>
      </c>
      <c r="C29" s="2529"/>
      <c r="D29" s="2529"/>
      <c r="E29" s="2529"/>
      <c r="F29" s="2529"/>
      <c r="G29" s="2529"/>
      <c r="H29" s="2529"/>
      <c r="I29" s="2529"/>
      <c r="J29" s="2529"/>
      <c r="K29" s="252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29" t="s">
        <v>2176</v>
      </c>
      <c r="C32" s="2529"/>
      <c r="D32" s="2529"/>
      <c r="E32" s="2529"/>
      <c r="F32" s="2529"/>
      <c r="G32" s="2529"/>
      <c r="H32" s="2529"/>
      <c r="I32" s="2529"/>
      <c r="J32" s="2529"/>
      <c r="K32" s="252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29" t="s">
        <v>2177</v>
      </c>
      <c r="C35" s="2529"/>
      <c r="D35" s="2529"/>
      <c r="E35" s="2529"/>
      <c r="F35" s="2529"/>
      <c r="G35" s="2529"/>
      <c r="H35" s="2529"/>
      <c r="I35" s="2529"/>
      <c r="J35" s="2529"/>
      <c r="K35" s="252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29" t="s">
        <v>2178</v>
      </c>
      <c r="C38" s="2529"/>
      <c r="D38" s="2529"/>
      <c r="E38" s="2529"/>
      <c r="F38" s="2529"/>
      <c r="G38" s="2529"/>
      <c r="H38" s="2529"/>
      <c r="I38" s="2529"/>
      <c r="J38" s="2529"/>
      <c r="K38" s="252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29" t="s">
        <v>2179</v>
      </c>
      <c r="C41" s="2529"/>
      <c r="D41" s="2529"/>
      <c r="E41" s="2529"/>
      <c r="F41" s="2529"/>
      <c r="G41" s="2529"/>
      <c r="H41" s="2529"/>
      <c r="I41" s="2529"/>
      <c r="J41" s="2529"/>
      <c r="K41" s="2529"/>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5" t="str">
        <f>'Single Audit Cover'!A7</f>
        <v>West Carroll CUSD 314</v>
      </c>
      <c r="C1" s="2535"/>
      <c r="D1" s="2535"/>
      <c r="E1" s="2535"/>
      <c r="F1" s="2535"/>
      <c r="G1" s="2535"/>
      <c r="H1" s="2535"/>
      <c r="I1" s="2535"/>
      <c r="J1" s="2535"/>
      <c r="K1" s="2535"/>
      <c r="L1" s="1465"/>
    </row>
    <row r="2" spans="1:12" ht="12.75" customHeight="1" x14ac:dyDescent="0.2">
      <c r="B2" s="2536">
        <f>'Single Audit Cover'!E7</f>
        <v>8008314026</v>
      </c>
      <c r="C2" s="2536"/>
      <c r="D2" s="2536"/>
      <c r="E2" s="2536"/>
      <c r="F2" s="2536"/>
      <c r="G2" s="2536"/>
      <c r="H2" s="2536"/>
      <c r="I2" s="2536"/>
      <c r="J2" s="2536"/>
      <c r="K2" s="2536"/>
      <c r="L2" s="1466"/>
    </row>
    <row r="3" spans="1:12" ht="12.75" customHeight="1" x14ac:dyDescent="0.2">
      <c r="B3" s="2530" t="s">
        <v>1346</v>
      </c>
      <c r="C3" s="2530"/>
      <c r="D3" s="2530"/>
      <c r="E3" s="2530"/>
      <c r="F3" s="2530"/>
      <c r="G3" s="2530"/>
      <c r="H3" s="2530"/>
      <c r="I3" s="2530"/>
      <c r="J3" s="2530"/>
      <c r="K3" s="2530"/>
      <c r="L3" s="1980"/>
    </row>
    <row r="4" spans="1:12" ht="12.75" customHeight="1" x14ac:dyDescent="0.2">
      <c r="B4" s="2530" t="str">
        <f>'Single Audit Cover'!A4</f>
        <v>Year Ending June 30, 2018</v>
      </c>
      <c r="C4" s="2530"/>
      <c r="D4" s="2530"/>
      <c r="E4" s="2530"/>
      <c r="F4" s="2530"/>
      <c r="G4" s="2530"/>
      <c r="H4" s="2530"/>
      <c r="I4" s="2530"/>
      <c r="J4" s="2530"/>
      <c r="K4" s="2530"/>
      <c r="L4" s="1980"/>
    </row>
    <row r="5" spans="1:12" ht="5.25" customHeight="1" x14ac:dyDescent="0.2">
      <c r="B5" s="1260" t="s">
        <v>1230</v>
      </c>
      <c r="C5" s="1260"/>
      <c r="L5" s="322"/>
    </row>
    <row r="6" spans="1:12" ht="30.75" customHeight="1" x14ac:dyDescent="0.2">
      <c r="A6" s="322"/>
      <c r="B6" s="2537" t="s">
        <v>1374</v>
      </c>
      <c r="C6" s="2537"/>
      <c r="D6" s="2537"/>
      <c r="E6" s="2537"/>
      <c r="F6" s="2537"/>
      <c r="G6" s="2537"/>
      <c r="H6" s="2537"/>
      <c r="I6" s="2537"/>
      <c r="J6" s="2537"/>
      <c r="K6" s="2537"/>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3</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514" t="s">
        <v>2181</v>
      </c>
      <c r="G12" s="2514"/>
      <c r="H12" s="2514"/>
      <c r="I12" s="2514"/>
      <c r="J12" s="2514"/>
      <c r="K12" s="251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38" t="s">
        <v>2123</v>
      </c>
      <c r="E14" s="2538"/>
      <c r="F14" s="2538"/>
      <c r="H14" s="1475" t="s">
        <v>1369</v>
      </c>
      <c r="I14" s="2539" t="s">
        <v>2120</v>
      </c>
      <c r="J14" s="2539"/>
      <c r="K14" s="253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39" t="s">
        <v>2182</v>
      </c>
      <c r="E16" s="2539"/>
      <c r="F16" s="2539"/>
      <c r="G16" s="2539"/>
      <c r="H16" s="2539"/>
      <c r="I16" s="2539"/>
      <c r="J16" s="2539"/>
      <c r="K16" s="2539"/>
      <c r="L16" s="322"/>
    </row>
    <row r="17" spans="2:12" ht="13.5" customHeight="1" x14ac:dyDescent="0.2">
      <c r="B17" s="1387" t="s">
        <v>1367</v>
      </c>
      <c r="C17" s="1387"/>
      <c r="D17" s="2540" t="s">
        <v>2172</v>
      </c>
      <c r="E17" s="2540"/>
      <c r="F17" s="2540"/>
      <c r="G17" s="2540"/>
      <c r="H17" s="2540"/>
      <c r="I17" s="2540"/>
      <c r="J17" s="2540"/>
      <c r="K17" s="254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29" t="s">
        <v>2183</v>
      </c>
      <c r="C20" s="2529"/>
      <c r="D20" s="2529"/>
      <c r="E20" s="2529"/>
      <c r="F20" s="2529"/>
      <c r="G20" s="2529"/>
      <c r="H20" s="2529"/>
      <c r="I20" s="2529"/>
      <c r="J20" s="2529"/>
      <c r="K20" s="252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529" t="s">
        <v>2184</v>
      </c>
      <c r="C23" s="2529"/>
      <c r="D23" s="2529"/>
      <c r="E23" s="2529"/>
      <c r="F23" s="2529"/>
      <c r="G23" s="2529"/>
      <c r="H23" s="2529"/>
      <c r="I23" s="2529"/>
      <c r="J23" s="2529"/>
      <c r="K23" s="252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529" t="s">
        <v>2090</v>
      </c>
      <c r="C26" s="2529"/>
      <c r="D26" s="2529"/>
      <c r="E26" s="2529"/>
      <c r="F26" s="2529"/>
      <c r="G26" s="2529"/>
      <c r="H26" s="2529"/>
      <c r="I26" s="2529"/>
      <c r="J26" s="2529"/>
      <c r="K26" s="252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529" t="s">
        <v>2184</v>
      </c>
      <c r="C29" s="2529"/>
      <c r="D29" s="2529"/>
      <c r="E29" s="2529"/>
      <c r="F29" s="2529"/>
      <c r="G29" s="2529"/>
      <c r="H29" s="2529"/>
      <c r="I29" s="2529"/>
      <c r="J29" s="2529"/>
      <c r="K29" s="252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29" t="s">
        <v>2185</v>
      </c>
      <c r="C32" s="2529"/>
      <c r="D32" s="2529"/>
      <c r="E32" s="2529"/>
      <c r="F32" s="2529"/>
      <c r="G32" s="2529"/>
      <c r="H32" s="2529"/>
      <c r="I32" s="2529"/>
      <c r="J32" s="2529"/>
      <c r="K32" s="252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29" t="s">
        <v>2186</v>
      </c>
      <c r="C35" s="2529"/>
      <c r="D35" s="2529"/>
      <c r="E35" s="2529"/>
      <c r="F35" s="2529"/>
      <c r="G35" s="2529"/>
      <c r="H35" s="2529"/>
      <c r="I35" s="2529"/>
      <c r="J35" s="2529"/>
      <c r="K35" s="252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29" t="s">
        <v>2187</v>
      </c>
      <c r="C38" s="2529"/>
      <c r="D38" s="2529"/>
      <c r="E38" s="2529"/>
      <c r="F38" s="2529"/>
      <c r="G38" s="2529"/>
      <c r="H38" s="2529"/>
      <c r="I38" s="2529"/>
      <c r="J38" s="2529"/>
      <c r="K38" s="252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29" t="s">
        <v>2188</v>
      </c>
      <c r="C41" s="2529"/>
      <c r="D41" s="2529"/>
      <c r="E41" s="2529"/>
      <c r="F41" s="2529"/>
      <c r="G41" s="2529"/>
      <c r="H41" s="2529"/>
      <c r="I41" s="2529"/>
      <c r="J41" s="2529"/>
      <c r="K41" s="2529"/>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9"/>
  <sheetViews>
    <sheetView showGridLines="0" zoomScale="110" zoomScaleNormal="110" workbookViewId="0">
      <selection activeCell="I22" sqref="I22:S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07" t="str">
        <f>'Single Audit Cover'!A7</f>
        <v>West Carroll CUSD 314</v>
      </c>
      <c r="C1" s="2507"/>
      <c r="D1" s="2507"/>
      <c r="E1" s="1491"/>
    </row>
    <row r="2" spans="2:5" s="1282" customFormat="1" ht="12.75" customHeight="1" x14ac:dyDescent="0.2">
      <c r="B2" s="2509">
        <f>'Single Audit Cover'!E7</f>
        <v>8008314026</v>
      </c>
      <c r="C2" s="2509"/>
      <c r="D2" s="2509"/>
      <c r="E2" s="1492"/>
    </row>
    <row r="3" spans="2:5" ht="12.75" customHeight="1" x14ac:dyDescent="0.2">
      <c r="B3" s="2530" t="s">
        <v>1865</v>
      </c>
      <c r="C3" s="2530"/>
      <c r="D3" s="2530"/>
      <c r="E3" s="1274"/>
    </row>
    <row r="4" spans="2:5" s="1282" customFormat="1" ht="12.75" customHeight="1" x14ac:dyDescent="0.2">
      <c r="B4" s="2541" t="str">
        <f>'Single Audit Cover'!A4</f>
        <v>Year Ending June 30, 2018</v>
      </c>
      <c r="C4" s="2541"/>
      <c r="D4" s="2541"/>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25.5" x14ac:dyDescent="0.2">
      <c r="B8" s="1496" t="s">
        <v>2189</v>
      </c>
      <c r="C8" s="1981" t="s">
        <v>2190</v>
      </c>
      <c r="D8" s="1981" t="s">
        <v>2191</v>
      </c>
      <c r="E8" s="324"/>
    </row>
    <row r="9" spans="2:5" ht="13.5" customHeight="1" x14ac:dyDescent="0.2">
      <c r="B9" s="1497"/>
      <c r="C9" s="323"/>
      <c r="D9" s="323"/>
      <c r="E9" s="323"/>
    </row>
    <row r="10" spans="2:5" ht="51" x14ac:dyDescent="0.2">
      <c r="B10" s="1496" t="s">
        <v>2192</v>
      </c>
      <c r="C10" s="1982" t="s">
        <v>2193</v>
      </c>
      <c r="D10" s="1982" t="s">
        <v>2194</v>
      </c>
      <c r="E10" s="323"/>
    </row>
    <row r="11" spans="2:5" ht="13.5" customHeight="1" x14ac:dyDescent="0.2">
      <c r="B11" s="1496"/>
      <c r="C11" s="323"/>
      <c r="D11" s="323"/>
      <c r="E11" s="323"/>
    </row>
    <row r="12" spans="2:5" ht="51" x14ac:dyDescent="0.2">
      <c r="B12" s="1496" t="s">
        <v>2195</v>
      </c>
      <c r="C12" s="1982" t="s">
        <v>2196</v>
      </c>
      <c r="D12" s="323" t="s">
        <v>2197</v>
      </c>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8"/>
      <c r="C28" s="323"/>
      <c r="D28" s="323"/>
      <c r="E28" s="323"/>
    </row>
    <row r="29" spans="2:5" ht="13.5" customHeight="1" x14ac:dyDescent="0.2">
      <c r="B29" s="1499"/>
      <c r="C29" s="323"/>
      <c r="D29" s="323"/>
      <c r="E29" s="323"/>
    </row>
    <row r="30" spans="2:5" ht="13.5" customHeight="1" x14ac:dyDescent="0.2">
      <c r="B30" s="1500"/>
      <c r="C30" s="323"/>
      <c r="D30" s="323"/>
      <c r="E30" s="323"/>
    </row>
    <row r="31" spans="2:5" ht="13.5" customHeight="1" x14ac:dyDescent="0.2">
      <c r="B31" s="1499"/>
      <c r="C31" s="323"/>
      <c r="D31" s="323"/>
      <c r="E31" s="323"/>
    </row>
    <row r="32" spans="2:5" ht="13.5" customHeight="1" x14ac:dyDescent="0.2">
      <c r="B32" s="1500"/>
      <c r="C32" s="323"/>
      <c r="D32" s="323"/>
      <c r="E32" s="323"/>
    </row>
    <row r="33" spans="2:5" ht="13.5" customHeight="1" x14ac:dyDescent="0.2">
      <c r="B33" s="1500"/>
      <c r="C33" s="323"/>
      <c r="D33" s="323"/>
      <c r="E33" s="323"/>
    </row>
    <row r="34" spans="2:5" ht="13.5" customHeight="1" x14ac:dyDescent="0.2">
      <c r="B34" s="1499"/>
      <c r="C34" s="323"/>
      <c r="D34" s="323"/>
      <c r="E34" s="323"/>
    </row>
    <row r="35" spans="2:5" ht="13.5" customHeight="1" x14ac:dyDescent="0.2">
      <c r="B35" s="1500"/>
      <c r="C35" s="323"/>
      <c r="D35" s="323"/>
      <c r="E35" s="323"/>
    </row>
    <row r="36" spans="2:5" ht="13.5" customHeight="1" x14ac:dyDescent="0.2">
      <c r="B36" s="1499"/>
      <c r="C36" s="323"/>
      <c r="D36" s="323"/>
      <c r="E36" s="323"/>
    </row>
    <row r="37" spans="2:5" ht="13.5" customHeight="1" x14ac:dyDescent="0.2">
      <c r="B37" s="1501"/>
      <c r="C37" s="323"/>
      <c r="D37" s="323"/>
      <c r="E37" s="323"/>
    </row>
    <row r="38" spans="2:5" ht="13.5" customHeight="1" x14ac:dyDescent="0.2">
      <c r="B38" s="1502"/>
      <c r="C38" s="323"/>
      <c r="D38" s="323"/>
      <c r="E38" s="323"/>
    </row>
    <row r="39" spans="2:5" ht="12.75" customHeight="1" x14ac:dyDescent="0.2">
      <c r="B39" s="1503"/>
      <c r="C39" s="1504"/>
      <c r="D39" s="1504"/>
      <c r="E39" s="323"/>
    </row>
    <row r="40" spans="2:5" ht="12.2" customHeight="1" x14ac:dyDescent="0.2">
      <c r="B40" s="1257" t="s">
        <v>1379</v>
      </c>
      <c r="C40" s="322"/>
    </row>
    <row r="41" spans="2:5" ht="12.2" customHeight="1" x14ac:dyDescent="0.2">
      <c r="B41" s="1505" t="s">
        <v>1868</v>
      </c>
    </row>
    <row r="42" spans="2:5" ht="12.2" customHeight="1" x14ac:dyDescent="0.2">
      <c r="B42" s="1505" t="s">
        <v>1869</v>
      </c>
    </row>
    <row r="43" spans="2:5" ht="12.2" customHeight="1" x14ac:dyDescent="0.2">
      <c r="B43" s="1506" t="s">
        <v>1378</v>
      </c>
    </row>
    <row r="44" spans="2:5" ht="12.2" customHeight="1" x14ac:dyDescent="0.2">
      <c r="B44" s="1506" t="s">
        <v>1377</v>
      </c>
    </row>
    <row r="45" spans="2:5" ht="12.2" customHeight="1" x14ac:dyDescent="0.2">
      <c r="B45" s="1506" t="s">
        <v>1376</v>
      </c>
    </row>
    <row r="46" spans="2:5" ht="12.2" customHeight="1" x14ac:dyDescent="0.2">
      <c r="B46" s="1506" t="s">
        <v>1375</v>
      </c>
    </row>
    <row r="49" spans="2:5" ht="12.75" customHeight="1" x14ac:dyDescent="0.2"/>
    <row r="50" spans="2:5" ht="12.75" customHeight="1" x14ac:dyDescent="0.2">
      <c r="B50" s="1267"/>
    </row>
    <row r="51" spans="2:5" ht="12.75" customHeight="1" x14ac:dyDescent="0.2"/>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3" spans="2:5" x14ac:dyDescent="0.2">
      <c r="B63" s="1419"/>
    </row>
    <row r="64" spans="2:5" x14ac:dyDescent="0.2">
      <c r="B64" s="1300"/>
    </row>
    <row r="65" spans="2:2" x14ac:dyDescent="0.2">
      <c r="B65" s="1300"/>
    </row>
    <row r="66" spans="2:2" x14ac:dyDescent="0.2">
      <c r="B66" s="1420"/>
    </row>
    <row r="67" spans="2:2" x14ac:dyDescent="0.2">
      <c r="B67" s="1420"/>
    </row>
    <row r="68" spans="2:2" x14ac:dyDescent="0.2">
      <c r="B68" s="1420"/>
    </row>
    <row r="69" spans="2:2" x14ac:dyDescent="0.2">
      <c r="B69"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8" t="s">
        <v>403</v>
      </c>
      <c r="B1" s="2138"/>
      <c r="C1" s="2138"/>
      <c r="D1" s="2138"/>
      <c r="E1" s="2138"/>
      <c r="F1" s="2138"/>
      <c r="G1" s="2138"/>
      <c r="H1" s="2138"/>
      <c r="I1" s="2138"/>
      <c r="J1" s="2138"/>
      <c r="K1" s="2138"/>
      <c r="L1" s="2138"/>
      <c r="M1" s="213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125901764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3.2899999999999999E-2</v>
      </c>
      <c r="E10" s="356" t="s">
        <v>1061</v>
      </c>
      <c r="F10" s="355">
        <v>5.0000000000000001E-3</v>
      </c>
      <c r="G10" s="356" t="s">
        <v>1061</v>
      </c>
      <c r="H10" s="355">
        <v>2E-3</v>
      </c>
      <c r="I10" s="356" t="s">
        <v>1062</v>
      </c>
      <c r="J10" s="1754">
        <f>ROUND(D10+F10+H10,5)</f>
        <v>3.9899999999999998E-2</v>
      </c>
      <c r="K10" s="222"/>
      <c r="L10" s="355">
        <v>5.0000000000000001E-4</v>
      </c>
      <c r="M10" s="222"/>
    </row>
    <row r="11" spans="1:14" ht="7.5" customHeight="1" x14ac:dyDescent="0.2">
      <c r="B11" s="222"/>
      <c r="C11" s="222"/>
      <c r="D11" s="2148" t="str">
        <f>IF(SUM(J10)&lt;=0.0999999,"","Enter the Tax Rates by moving the decimal two places to the left.")</f>
        <v/>
      </c>
      <c r="E11" s="2149"/>
      <c r="F11" s="2149"/>
      <c r="G11" s="2149"/>
      <c r="H11" s="2149"/>
      <c r="I11" s="2149"/>
      <c r="J11" s="214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12266067</v>
      </c>
      <c r="E16" s="356"/>
      <c r="F16" s="1755">
        <f>SUM('Acct Summary 7-8'!C17,'Acct Summary 7-8'!D17,'Acct Summary 7-8'!F17)</f>
        <v>11585237</v>
      </c>
      <c r="G16" s="356"/>
      <c r="H16" s="1755">
        <f>SUM(D16-F16)</f>
        <v>680830</v>
      </c>
      <c r="I16" s="222"/>
      <c r="J16" s="1755">
        <f>SUM('Acct Summary 7-8'!C81,'Acct Summary 7-8'!D81,'Acct Summary 7-8'!F81,'Acct Summary 7-8'!I81)</f>
        <v>4698524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17374443.432</v>
      </c>
      <c r="I31" s="368"/>
      <c r="J31" s="222"/>
      <c r="K31" s="222"/>
      <c r="L31" s="222"/>
      <c r="M31" s="222"/>
    </row>
    <row r="32" spans="1:13" ht="13.35" customHeight="1" x14ac:dyDescent="0.2">
      <c r="B32" s="369" t="s">
        <v>2078</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10292924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39"/>
      <c r="C54" s="2140"/>
      <c r="D54" s="2140"/>
      <c r="E54" s="2140"/>
      <c r="F54" s="2140"/>
      <c r="G54" s="2140"/>
      <c r="H54" s="2140"/>
      <c r="I54" s="2140"/>
      <c r="J54" s="2140"/>
      <c r="K54" s="2140"/>
      <c r="L54" s="2141"/>
      <c r="M54" s="380"/>
    </row>
    <row r="55" spans="1:13" ht="12.75" customHeight="1" x14ac:dyDescent="0.2">
      <c r="B55" s="2142"/>
      <c r="C55" s="2143"/>
      <c r="D55" s="2143"/>
      <c r="E55" s="2143"/>
      <c r="F55" s="2143"/>
      <c r="G55" s="2143"/>
      <c r="H55" s="2143"/>
      <c r="I55" s="2143"/>
      <c r="J55" s="2143"/>
      <c r="K55" s="2143"/>
      <c r="L55" s="2144"/>
      <c r="M55" s="380"/>
    </row>
    <row r="56" spans="1:13" ht="12.75" customHeight="1" x14ac:dyDescent="0.2">
      <c r="B56" s="2142"/>
      <c r="C56" s="2143"/>
      <c r="D56" s="2143"/>
      <c r="E56" s="2143"/>
      <c r="F56" s="2143"/>
      <c r="G56" s="2143"/>
      <c r="H56" s="2143"/>
      <c r="I56" s="2143"/>
      <c r="J56" s="2143"/>
      <c r="K56" s="2143"/>
      <c r="L56" s="2144"/>
      <c r="M56" s="222"/>
    </row>
    <row r="57" spans="1:13" ht="12.75" customHeight="1" x14ac:dyDescent="0.2">
      <c r="B57" s="2142"/>
      <c r="C57" s="2143"/>
      <c r="D57" s="2143"/>
      <c r="E57" s="2143"/>
      <c r="F57" s="2143"/>
      <c r="G57" s="2143"/>
      <c r="H57" s="2143"/>
      <c r="I57" s="2143"/>
      <c r="J57" s="2143"/>
      <c r="K57" s="2143"/>
      <c r="L57" s="2144"/>
      <c r="M57" s="222"/>
    </row>
    <row r="58" spans="1:13" x14ac:dyDescent="0.2">
      <c r="B58" s="2145"/>
      <c r="C58" s="2146"/>
      <c r="D58" s="2146"/>
      <c r="E58" s="2146"/>
      <c r="F58" s="2146"/>
      <c r="G58" s="2146"/>
      <c r="H58" s="2146"/>
      <c r="I58" s="2146"/>
      <c r="J58" s="2146"/>
      <c r="K58" s="2146"/>
      <c r="L58" s="214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0"/>
      <c r="D61" s="215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I22" sqref="I22:S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3"/>
      <c r="B1" s="2154"/>
      <c r="C1" s="2154"/>
      <c r="D1" s="384"/>
      <c r="E1" s="384"/>
      <c r="F1" s="384"/>
      <c r="G1" s="384"/>
      <c r="H1" s="384"/>
      <c r="I1" s="384"/>
      <c r="J1" s="384"/>
      <c r="K1" s="384"/>
      <c r="L1" s="384"/>
      <c r="M1" s="384"/>
      <c r="N1" s="384"/>
      <c r="O1" s="2153"/>
      <c r="P1" s="2154"/>
      <c r="Q1" s="2154"/>
    </row>
    <row r="2" spans="1:18" ht="15" x14ac:dyDescent="0.2">
      <c r="A2" s="2157" t="s">
        <v>576</v>
      </c>
      <c r="B2" s="2157"/>
      <c r="C2" s="2157"/>
      <c r="D2" s="2157"/>
      <c r="E2" s="2157"/>
      <c r="F2" s="2157"/>
      <c r="G2" s="2157"/>
      <c r="H2" s="2157"/>
      <c r="I2" s="2157"/>
      <c r="J2" s="2157"/>
      <c r="K2" s="2157"/>
      <c r="L2" s="2157"/>
      <c r="M2" s="2157"/>
      <c r="N2" s="2157"/>
      <c r="O2" s="2157"/>
      <c r="P2" s="2157"/>
      <c r="Q2" s="2157"/>
      <c r="R2" s="2157"/>
    </row>
    <row r="3" spans="1:18" ht="12.75" x14ac:dyDescent="0.2">
      <c r="A3" s="2158" t="s">
        <v>1479</v>
      </c>
      <c r="B3" s="2158"/>
      <c r="C3" s="2158"/>
      <c r="D3" s="2158"/>
      <c r="E3" s="2158"/>
      <c r="F3" s="2158"/>
      <c r="G3" s="2158"/>
      <c r="H3" s="2158"/>
      <c r="I3" s="2158"/>
      <c r="J3" s="2158"/>
      <c r="K3" s="2158"/>
      <c r="L3" s="2158"/>
      <c r="M3" s="2158"/>
      <c r="N3" s="2158"/>
      <c r="O3" s="2158"/>
      <c r="P3" s="2158"/>
      <c r="Q3" s="2158"/>
      <c r="R3" s="2158"/>
    </row>
    <row r="4" spans="1:18" x14ac:dyDescent="0.2">
      <c r="A4" s="2159" t="s">
        <v>1634</v>
      </c>
      <c r="B4" s="2159"/>
      <c r="C4" s="2159"/>
      <c r="D4" s="2159"/>
      <c r="E4" s="2159"/>
      <c r="F4" s="2159"/>
      <c r="G4" s="2159"/>
      <c r="H4" s="2159"/>
      <c r="I4" s="2159"/>
      <c r="J4" s="2159"/>
      <c r="K4" s="2159"/>
      <c r="L4" s="2159"/>
      <c r="M4" s="2159"/>
      <c r="N4" s="2159"/>
      <c r="O4" s="2159"/>
      <c r="P4" s="2159"/>
      <c r="Q4" s="2159"/>
      <c r="R4" s="215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West Carroll CUSD 314</v>
      </c>
      <c r="E7" s="391"/>
      <c r="G7" s="252"/>
      <c r="H7" s="387"/>
      <c r="I7" s="387"/>
      <c r="J7" s="387"/>
      <c r="K7" s="387"/>
      <c r="L7" s="329"/>
      <c r="M7" s="329"/>
      <c r="N7" s="329"/>
      <c r="O7" s="329"/>
      <c r="P7" s="329"/>
    </row>
    <row r="8" spans="1:18" ht="12.75" x14ac:dyDescent="0.2">
      <c r="A8" s="329"/>
      <c r="B8" s="329"/>
      <c r="C8" s="389" t="s">
        <v>1186</v>
      </c>
      <c r="D8" s="392">
        <f>COVER!A13</f>
        <v>8008314026</v>
      </c>
      <c r="E8" s="393"/>
      <c r="G8" s="329"/>
      <c r="H8" s="329"/>
      <c r="I8" s="329"/>
      <c r="J8" s="329"/>
      <c r="K8" s="329"/>
      <c r="L8" s="329"/>
      <c r="M8" s="329"/>
      <c r="N8" s="329"/>
      <c r="O8" s="329"/>
      <c r="P8" s="329"/>
    </row>
    <row r="9" spans="1:18" ht="12.75" x14ac:dyDescent="0.2">
      <c r="A9" s="329"/>
      <c r="B9" s="329"/>
      <c r="C9" s="389" t="s">
        <v>736</v>
      </c>
      <c r="D9" s="394" t="str">
        <f>COVER!A15</f>
        <v>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4698524</v>
      </c>
      <c r="I12" s="404"/>
      <c r="J12" s="404"/>
      <c r="K12" s="405">
        <f>TRUNC((H12/H13*100000),5)/100000</f>
        <v>0.38409105190000004</v>
      </c>
      <c r="L12" s="406"/>
      <c r="M12" s="360" t="s">
        <v>1205</v>
      </c>
      <c r="N12" s="360"/>
      <c r="O12" s="407">
        <v>0.35</v>
      </c>
      <c r="P12" s="218"/>
      <c r="Q12" s="218"/>
    </row>
    <row r="13" spans="1:18" s="408" customFormat="1" ht="12.75" x14ac:dyDescent="0.2">
      <c r="A13" s="218"/>
      <c r="B13" s="401"/>
      <c r="C13" s="2155" t="s">
        <v>1390</v>
      </c>
      <c r="D13" s="2156"/>
      <c r="E13" s="218"/>
      <c r="F13" s="409" t="s">
        <v>825</v>
      </c>
      <c r="G13" s="402"/>
      <c r="H13" s="403">
        <f>SUM('Acct Summary 7-8'!C8+'Acct Summary 7-8'!D8+'Acct Summary 7-8'!F8+'Acct Summary 7-8'!I8)+H14</f>
        <v>12232839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-33228</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11585237</v>
      </c>
      <c r="I17" s="404"/>
      <c r="J17" s="416"/>
      <c r="K17" s="405">
        <f>TRUNC((H17/H18*100000),5)/100000</f>
        <v>0.9470603675</v>
      </c>
      <c r="L17" s="406"/>
      <c r="M17" s="417" t="s">
        <v>1232</v>
      </c>
      <c r="O17" s="418" t="str">
        <f>IF(AND(O16="2", J20 &gt; 2),"1",IF(AND(O16 = "1", J20 &gt; 2),"2",IF(AND(O16="1", J20 &gt;1),"1","0")))</f>
        <v>0</v>
      </c>
      <c r="P17" s="218"/>
    </row>
    <row r="18" spans="1:18" s="408" customFormat="1" ht="11.25" x14ac:dyDescent="0.2">
      <c r="A18" s="218"/>
      <c r="B18" s="401"/>
      <c r="C18" s="2155" t="s">
        <v>1383</v>
      </c>
      <c r="D18" s="2156"/>
      <c r="E18" s="218"/>
      <c r="F18" s="419" t="s">
        <v>826</v>
      </c>
      <c r="G18" s="402"/>
      <c r="H18" s="403">
        <f>SUM('Acct Summary 7-8'!C8+'Acct Summary 7-8'!D8+'Acct Summary 7-8'!F8+'Acct Summary 7-8'!I8)+H19</f>
        <v>12232839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-33228</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52" t="s">
        <v>1478</v>
      </c>
      <c r="D24" s="2152"/>
      <c r="E24" s="218"/>
      <c r="F24" s="218" t="s">
        <v>464</v>
      </c>
      <c r="G24" s="402"/>
      <c r="H24" s="403">
        <f>SUM('Assets-Liab 5-6'!C4+'Assets-Liab 5-6'!D4+'Assets-Liab 5-6'!F4+'Assets-Liab 5-6'!I4+'Assets-Liab 5-6'!C5+'Assets-Liab 5-6'!D5+'Assets-Liab 5-6'!F5+'Assets-Liab 5-6'!I5)</f>
        <v>4709421</v>
      </c>
      <c r="I24" s="422"/>
      <c r="J24" s="422"/>
      <c r="K24" s="423">
        <f>TRUNC(((H24/H25*100000)/100000),2)</f>
        <v>146.34</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32181.213889999999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4269958.3260599999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10292924</v>
      </c>
      <c r="I32" s="420"/>
      <c r="J32" s="420"/>
      <c r="K32" s="423">
        <f>TRUNC(100-((((H32/H33*100))*100)/100),2)</f>
        <v>40.75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17374443.432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0" zoomScaleNormal="90" workbookViewId="0">
      <pane ySplit="2" topLeftCell="A24" activePane="bottomLeft" state="frozen"/>
      <selection activeCell="I22" sqref="I22:S22"/>
      <selection pane="bottomLeft" activeCell="I22" sqref="I22:S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6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6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62" t="s">
        <v>1029</v>
      </c>
      <c r="B3" s="2163"/>
      <c r="C3" s="1581"/>
      <c r="D3" s="1582"/>
      <c r="E3" s="1582"/>
      <c r="F3" s="1582"/>
      <c r="G3" s="1582"/>
      <c r="H3" s="1582"/>
      <c r="I3" s="1582"/>
      <c r="J3" s="1582"/>
      <c r="K3" s="1582"/>
      <c r="L3" s="1582"/>
      <c r="M3" s="1583"/>
      <c r="N3" s="1584"/>
    </row>
    <row r="4" spans="1:14" ht="13.5" customHeight="1" x14ac:dyDescent="0.2">
      <c r="A4" s="463" t="s">
        <v>1749</v>
      </c>
      <c r="B4" s="464"/>
      <c r="C4" s="465">
        <v>1833087</v>
      </c>
      <c r="D4" s="466">
        <v>343582</v>
      </c>
      <c r="E4" s="466">
        <v>414999</v>
      </c>
      <c r="F4" s="466">
        <v>574369</v>
      </c>
      <c r="G4" s="466">
        <v>261488</v>
      </c>
      <c r="H4" s="466">
        <v>3111</v>
      </c>
      <c r="I4" s="466">
        <v>1958383</v>
      </c>
      <c r="J4" s="467">
        <v>580438</v>
      </c>
      <c r="K4" s="466">
        <v>204201</v>
      </c>
      <c r="L4" s="466">
        <v>269019</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v>1129</v>
      </c>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1834216</v>
      </c>
      <c r="D13" s="1759">
        <f t="shared" ref="D13:L13" si="0">SUM(D4:D12)</f>
        <v>343582</v>
      </c>
      <c r="E13" s="1759">
        <f t="shared" si="0"/>
        <v>414999</v>
      </c>
      <c r="F13" s="1759">
        <f t="shared" si="0"/>
        <v>574369</v>
      </c>
      <c r="G13" s="1759">
        <f t="shared" si="0"/>
        <v>261488</v>
      </c>
      <c r="H13" s="1759">
        <f t="shared" si="0"/>
        <v>3111</v>
      </c>
      <c r="I13" s="1759">
        <f t="shared" si="0"/>
        <v>1958383</v>
      </c>
      <c r="J13" s="1759">
        <f t="shared" si="0"/>
        <v>580438</v>
      </c>
      <c r="K13" s="1759">
        <f t="shared" si="0"/>
        <v>204201</v>
      </c>
      <c r="L13" s="1759">
        <f t="shared" si="0"/>
        <v>269019</v>
      </c>
      <c r="M13" s="468"/>
      <c r="N13" s="469"/>
    </row>
    <row r="14" spans="1:14" ht="18" customHeight="1" thickTop="1" x14ac:dyDescent="0.2">
      <c r="A14" s="2164" t="s">
        <v>149</v>
      </c>
      <c r="B14" s="2165"/>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152553</v>
      </c>
      <c r="N16" s="484"/>
    </row>
    <row r="17" spans="1:14" s="485" customFormat="1" ht="12.75" customHeight="1" x14ac:dyDescent="0.2">
      <c r="A17" s="482" t="s">
        <v>1469</v>
      </c>
      <c r="B17" s="483">
        <v>230</v>
      </c>
      <c r="C17" s="477"/>
      <c r="D17" s="477"/>
      <c r="E17" s="477"/>
      <c r="F17" s="477"/>
      <c r="G17" s="477"/>
      <c r="H17" s="477"/>
      <c r="I17" s="477"/>
      <c r="J17" s="477"/>
      <c r="K17" s="477"/>
      <c r="L17" s="477"/>
      <c r="M17" s="467">
        <v>16837219</v>
      </c>
      <c r="N17" s="484"/>
    </row>
    <row r="18" spans="1:14" s="485" customFormat="1" ht="12.75" customHeight="1" x14ac:dyDescent="0.2">
      <c r="A18" s="482" t="s">
        <v>1470</v>
      </c>
      <c r="B18" s="483">
        <v>240</v>
      </c>
      <c r="C18" s="477"/>
      <c r="D18" s="477"/>
      <c r="E18" s="477"/>
      <c r="F18" s="477"/>
      <c r="G18" s="477"/>
      <c r="H18" s="477"/>
      <c r="I18" s="477"/>
      <c r="J18" s="477"/>
      <c r="K18" s="477"/>
      <c r="L18" s="477"/>
      <c r="M18" s="467">
        <v>131806</v>
      </c>
      <c r="N18" s="484"/>
    </row>
    <row r="19" spans="1:14" s="485" customFormat="1" ht="12.75" customHeight="1" x14ac:dyDescent="0.2">
      <c r="A19" s="482" t="s">
        <v>1471</v>
      </c>
      <c r="B19" s="483">
        <v>250</v>
      </c>
      <c r="C19" s="477"/>
      <c r="D19" s="477"/>
      <c r="E19" s="477"/>
      <c r="F19" s="477"/>
      <c r="G19" s="477"/>
      <c r="H19" s="477"/>
      <c r="I19" s="477"/>
      <c r="J19" s="477"/>
      <c r="K19" s="477"/>
      <c r="L19" s="477"/>
      <c r="M19" s="467">
        <v>1454339</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414999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9877925</v>
      </c>
    </row>
    <row r="23" spans="1:14" ht="13.5" customHeight="1" thickBot="1" x14ac:dyDescent="0.25">
      <c r="A23" s="1758" t="s">
        <v>663</v>
      </c>
      <c r="B23" s="1763"/>
      <c r="C23" s="468"/>
      <c r="D23" s="468"/>
      <c r="E23" s="468"/>
      <c r="F23" s="468"/>
      <c r="G23" s="468"/>
      <c r="H23" s="468"/>
      <c r="I23" s="468"/>
      <c r="J23" s="468"/>
      <c r="K23" s="468"/>
      <c r="L23" s="468"/>
      <c r="M23" s="1710">
        <f>SUM(M15:M22)</f>
        <v>18575917</v>
      </c>
      <c r="N23" s="1710">
        <f>SUM(N21:N22)</f>
        <v>10292924</v>
      </c>
    </row>
    <row r="24" spans="1:14" ht="18" customHeight="1" thickTop="1" x14ac:dyDescent="0.2">
      <c r="A24" s="2166" t="s">
        <v>618</v>
      </c>
      <c r="B24" s="2167"/>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12023</v>
      </c>
      <c r="D31" s="467"/>
      <c r="E31" s="467"/>
      <c r="F31" s="466">
        <v>-186</v>
      </c>
      <c r="G31" s="467"/>
      <c r="H31" s="467"/>
      <c r="I31" s="467"/>
      <c r="J31" s="467"/>
      <c r="K31" s="467"/>
      <c r="L31" s="468"/>
      <c r="M31" s="468"/>
      <c r="N31" s="468"/>
    </row>
    <row r="32" spans="1:14" ht="13.5" customHeight="1" x14ac:dyDescent="0.2">
      <c r="A32" s="490" t="s">
        <v>672</v>
      </c>
      <c r="B32" s="491">
        <v>490</v>
      </c>
      <c r="C32" s="492">
        <v>-30</v>
      </c>
      <c r="D32" s="492">
        <v>219</v>
      </c>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269019</v>
      </c>
      <c r="M33" s="468"/>
      <c r="N33" s="469"/>
    </row>
    <row r="34" spans="1:14" ht="13.5" customHeight="1" thickBot="1" x14ac:dyDescent="0.25">
      <c r="A34" s="1760" t="s">
        <v>674</v>
      </c>
      <c r="B34" s="1761"/>
      <c r="C34" s="1762">
        <f>SUM(C25:C33)</f>
        <v>11993</v>
      </c>
      <c r="D34" s="1762">
        <f t="shared" ref="D34:K34" si="1">SUM(D25:D33)</f>
        <v>219</v>
      </c>
      <c r="E34" s="1762">
        <f t="shared" si="1"/>
        <v>0</v>
      </c>
      <c r="F34" s="1762">
        <f t="shared" si="1"/>
        <v>-186</v>
      </c>
      <c r="G34" s="1762">
        <f t="shared" si="1"/>
        <v>0</v>
      </c>
      <c r="H34" s="1762">
        <f t="shared" si="1"/>
        <v>0</v>
      </c>
      <c r="I34" s="1762">
        <f t="shared" si="1"/>
        <v>0</v>
      </c>
      <c r="J34" s="1762">
        <f t="shared" si="1"/>
        <v>0</v>
      </c>
      <c r="K34" s="1762">
        <f t="shared" si="1"/>
        <v>0</v>
      </c>
      <c r="L34" s="1743">
        <f>SUM(L33)</f>
        <v>269019</v>
      </c>
      <c r="M34" s="468"/>
      <c r="N34" s="480"/>
    </row>
    <row r="35" spans="1:14" ht="18" customHeight="1" thickTop="1" x14ac:dyDescent="0.2">
      <c r="A35" s="2168" t="s">
        <v>549</v>
      </c>
      <c r="B35" s="216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10292924</v>
      </c>
    </row>
    <row r="37" spans="1:14" ht="13.5" thickBot="1" x14ac:dyDescent="0.25">
      <c r="A37" s="1758" t="s">
        <v>673</v>
      </c>
      <c r="B37" s="1763"/>
      <c r="C37" s="477"/>
      <c r="D37" s="477"/>
      <c r="E37" s="477"/>
      <c r="F37" s="477"/>
      <c r="G37" s="477"/>
      <c r="H37" s="477"/>
      <c r="I37" s="477"/>
      <c r="J37" s="477"/>
      <c r="K37" s="477"/>
      <c r="L37" s="480"/>
      <c r="M37" s="468"/>
      <c r="N37" s="1710">
        <f>SUM(N36:N36)</f>
        <v>10292924</v>
      </c>
    </row>
    <row r="38" spans="1:14" s="329" customFormat="1" ht="13.5" customHeight="1" thickTop="1" x14ac:dyDescent="0.2">
      <c r="A38" s="496" t="s">
        <v>439</v>
      </c>
      <c r="B38" s="483">
        <v>714</v>
      </c>
      <c r="C38" s="466">
        <v>562067</v>
      </c>
      <c r="D38" s="466"/>
      <c r="E38" s="466"/>
      <c r="F38" s="466"/>
      <c r="G38" s="466">
        <v>83299</v>
      </c>
      <c r="H38" s="466">
        <v>3111</v>
      </c>
      <c r="I38" s="466"/>
      <c r="J38" s="467"/>
      <c r="K38" s="466"/>
      <c r="L38" s="481"/>
      <c r="M38" s="497"/>
      <c r="N38" s="497"/>
    </row>
    <row r="39" spans="1:14" s="329" customFormat="1" ht="13.5" customHeight="1" x14ac:dyDescent="0.2">
      <c r="A39" s="496" t="s">
        <v>359</v>
      </c>
      <c r="B39" s="483">
        <v>730</v>
      </c>
      <c r="C39" s="466">
        <v>1260156</v>
      </c>
      <c r="D39" s="466">
        <v>343363</v>
      </c>
      <c r="E39" s="466">
        <v>414999</v>
      </c>
      <c r="F39" s="466">
        <v>574555</v>
      </c>
      <c r="G39" s="466">
        <v>178189</v>
      </c>
      <c r="H39" s="466"/>
      <c r="I39" s="466">
        <v>1958383</v>
      </c>
      <c r="J39" s="467">
        <v>580438</v>
      </c>
      <c r="K39" s="466">
        <v>204201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18575917</v>
      </c>
      <c r="N40" s="497"/>
    </row>
    <row r="41" spans="1:14" ht="13.5" customHeight="1" thickBot="1" x14ac:dyDescent="0.25">
      <c r="A41" s="1758" t="s">
        <v>675</v>
      </c>
      <c r="B41" s="1728"/>
      <c r="C41" s="1710">
        <f>(SUM(C34,C37,C38,C39))</f>
        <v>1834216</v>
      </c>
      <c r="D41" s="1710">
        <f t="shared" ref="D41:L41" si="2">SUM(D34,D37,D38:D39)</f>
        <v>343582</v>
      </c>
      <c r="E41" s="1710">
        <f t="shared" si="2"/>
        <v>414999</v>
      </c>
      <c r="F41" s="1710">
        <f t="shared" si="2"/>
        <v>574369</v>
      </c>
      <c r="G41" s="1710">
        <f t="shared" si="2"/>
        <v>261488</v>
      </c>
      <c r="H41" s="1710">
        <f t="shared" si="2"/>
        <v>3111</v>
      </c>
      <c r="I41" s="1710">
        <f t="shared" si="2"/>
        <v>1958383</v>
      </c>
      <c r="J41" s="1710">
        <f t="shared" si="2"/>
        <v>580438</v>
      </c>
      <c r="K41" s="1710">
        <f t="shared" si="2"/>
        <v>204201</v>
      </c>
      <c r="L41" s="1710">
        <f t="shared" si="2"/>
        <v>269019</v>
      </c>
      <c r="M41" s="1710">
        <f>SUM(M40)</f>
        <v>18575917</v>
      </c>
      <c r="N41" s="1710">
        <f>SUM(N37)</f>
        <v>10292924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Split"/>
      <selection activeCell="I22" sqref="I22:S22"/>
      <selection pane="bottomLeft" activeCell="I22" sqref="I22:S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7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90" t="s">
        <v>1236</v>
      </c>
      <c r="B3" s="2191"/>
      <c r="C3" s="1595"/>
      <c r="D3" s="1596"/>
      <c r="E3" s="1596"/>
      <c r="F3" s="1596"/>
      <c r="G3" s="1596"/>
      <c r="H3" s="1596"/>
      <c r="I3" s="1596"/>
      <c r="J3" s="1596"/>
      <c r="K3" s="1597"/>
      <c r="L3" s="506"/>
    </row>
    <row r="4" spans="1:13" ht="15.75" customHeight="1" x14ac:dyDescent="0.2">
      <c r="A4" s="1954" t="s">
        <v>1578</v>
      </c>
      <c r="B4" s="1955">
        <v>1000</v>
      </c>
      <c r="C4" s="1764">
        <f>'Revenues 9-14'!C109</f>
        <v>3867344</v>
      </c>
      <c r="D4" s="1764">
        <f>'Revenues 9-14'!D109</f>
        <v>578497</v>
      </c>
      <c r="E4" s="1764">
        <f>'Revenues 9-14'!E109</f>
        <v>1440962</v>
      </c>
      <c r="F4" s="1764">
        <f>'Revenues 9-14'!F109</f>
        <v>225094</v>
      </c>
      <c r="G4" s="1764">
        <f>'Revenues 9-14'!G109</f>
        <v>414232</v>
      </c>
      <c r="H4" s="1764">
        <f>'Revenues 9-14'!H109</f>
        <v>595</v>
      </c>
      <c r="I4" s="1764">
        <f>'Revenues 9-14'!I109</f>
        <v>61753</v>
      </c>
      <c r="J4" s="1764">
        <f>'Revenues 9-14'!J109</f>
        <v>737362</v>
      </c>
      <c r="K4" s="1764">
        <f>'Revenues 9-14'!K109</f>
        <v>55522</v>
      </c>
      <c r="L4" s="347"/>
    </row>
    <row r="5" spans="1:13" ht="15.75" customHeight="1" x14ac:dyDescent="0.2">
      <c r="A5" s="1598" t="s">
        <v>1579</v>
      </c>
      <c r="B5" s="1599">
        <v>2000</v>
      </c>
      <c r="C5" s="1765">
        <f>'Revenues 9-14'!C114</f>
        <v>632866</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4535772</v>
      </c>
      <c r="D6" s="1765">
        <f>'Revenues 9-14'!D173</f>
        <v>0</v>
      </c>
      <c r="E6" s="1765">
        <f>'Revenues 9-14'!E173</f>
        <v>0</v>
      </c>
      <c r="F6" s="1765">
        <f>'Revenues 9-14'!F173</f>
        <v>919717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1445024</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10481006</v>
      </c>
      <c r="D8" s="1710">
        <f t="shared" ref="D8:K8" si="0">SUM(D4:D7)</f>
        <v>578497</v>
      </c>
      <c r="E8" s="1710">
        <f t="shared" si="0"/>
        <v>1440962</v>
      </c>
      <c r="F8" s="1710">
        <f t="shared" si="0"/>
        <v>1144811</v>
      </c>
      <c r="G8" s="1710">
        <f t="shared" si="0"/>
        <v>414232</v>
      </c>
      <c r="H8" s="1710">
        <f t="shared" si="0"/>
        <v>595</v>
      </c>
      <c r="I8" s="1710">
        <f t="shared" si="0"/>
        <v>61753</v>
      </c>
      <c r="J8" s="1710">
        <f t="shared" si="0"/>
        <v>737362</v>
      </c>
      <c r="K8" s="1710">
        <f t="shared" si="0"/>
        <v>55522</v>
      </c>
      <c r="L8" s="347"/>
    </row>
    <row r="9" spans="1:13" ht="15.75" thickTop="1" x14ac:dyDescent="0.2">
      <c r="A9" s="514" t="s">
        <v>1751</v>
      </c>
      <c r="B9" s="515">
        <v>3998</v>
      </c>
      <c r="C9" s="481">
        <v>543623</v>
      </c>
      <c r="D9" s="516"/>
      <c r="E9" s="481"/>
      <c r="F9" s="481"/>
      <c r="G9" s="517"/>
      <c r="H9" s="481"/>
      <c r="I9" s="509" t="s">
        <v>1230</v>
      </c>
      <c r="J9" s="478"/>
      <c r="K9" s="481"/>
      <c r="L9" s="347"/>
    </row>
    <row r="10" spans="1:13" s="519" customFormat="1" ht="13.5" thickBot="1" x14ac:dyDescent="0.25">
      <c r="A10" s="1758" t="s">
        <v>1234</v>
      </c>
      <c r="B10" s="1731"/>
      <c r="C10" s="1710">
        <f>SUM(C8:C9)</f>
        <v>11024629</v>
      </c>
      <c r="D10" s="1710">
        <f t="shared" ref="D10:K10" si="1">SUM(D8:D9)</f>
        <v>578497</v>
      </c>
      <c r="E10" s="1710">
        <f t="shared" si="1"/>
        <v>1440962</v>
      </c>
      <c r="F10" s="1710">
        <f t="shared" si="1"/>
        <v>1144811</v>
      </c>
      <c r="G10" s="1710">
        <f t="shared" si="1"/>
        <v>414232</v>
      </c>
      <c r="H10" s="1710">
        <f t="shared" si="1"/>
        <v>595</v>
      </c>
      <c r="I10" s="1710">
        <f t="shared" si="1"/>
        <v>61753</v>
      </c>
      <c r="J10" s="1710">
        <f t="shared" si="1"/>
        <v>737362</v>
      </c>
      <c r="K10" s="1710">
        <f t="shared" si="1"/>
        <v>55522</v>
      </c>
      <c r="L10" s="518"/>
    </row>
    <row r="11" spans="1:13" s="519" customFormat="1" ht="16.7" customHeight="1" thickTop="1" x14ac:dyDescent="0.2">
      <c r="A11" s="2164" t="s">
        <v>1237</v>
      </c>
      <c r="B11" s="2165"/>
      <c r="C11" s="1592"/>
      <c r="D11" s="1593"/>
      <c r="E11" s="1593"/>
      <c r="F11" s="1593"/>
      <c r="G11" s="1593"/>
      <c r="H11" s="1593"/>
      <c r="I11" s="1593"/>
      <c r="J11" s="1593"/>
      <c r="K11" s="1594"/>
      <c r="L11" s="518"/>
    </row>
    <row r="12" spans="1:13" ht="15.75" customHeight="1" x14ac:dyDescent="0.2">
      <c r="A12" s="1598" t="s">
        <v>475</v>
      </c>
      <c r="B12" s="1600">
        <v>1000</v>
      </c>
      <c r="C12" s="1764">
        <f>'Expenditures 15-22'!K33</f>
        <v>5825653</v>
      </c>
      <c r="D12" s="520" t="s">
        <v>1230</v>
      </c>
      <c r="E12" s="468" t="s">
        <v>1230</v>
      </c>
      <c r="F12" s="468" t="s">
        <v>1230</v>
      </c>
      <c r="G12" s="1764">
        <f>'Expenditures 15-22'!K229</f>
        <v>154199</v>
      </c>
      <c r="H12" s="521"/>
      <c r="I12" s="468" t="s">
        <v>1230</v>
      </c>
      <c r="J12" s="468" t="s">
        <v>1230</v>
      </c>
      <c r="K12" s="521" t="s">
        <v>1230</v>
      </c>
      <c r="L12" s="347"/>
    </row>
    <row r="13" spans="1:13" ht="15.75" customHeight="1" x14ac:dyDescent="0.2">
      <c r="A13" s="1598" t="s">
        <v>476</v>
      </c>
      <c r="B13" s="1600">
        <v>2000</v>
      </c>
      <c r="C13" s="1765">
        <f>'Expenditures 15-22'!K74</f>
        <v>2872600</v>
      </c>
      <c r="D13" s="1765">
        <f>'Expenditures 15-22'!K129</f>
        <v>518295</v>
      </c>
      <c r="E13" s="469" t="s">
        <v>1230</v>
      </c>
      <c r="F13" s="1765">
        <f>'Expenditures 15-22'!K184</f>
        <v>1002856</v>
      </c>
      <c r="G13" s="1765">
        <f>'Expenditures 15-22'!K279</f>
        <v>383997</v>
      </c>
      <c r="H13" s="1765">
        <f>'Expenditures 15-22'!K303</f>
        <v>0</v>
      </c>
      <c r="I13" s="468" t="s">
        <v>1230</v>
      </c>
      <c r="J13" s="1765">
        <f>'Expenditures 15-22'!K330</f>
        <v>942964</v>
      </c>
      <c r="K13" s="1769">
        <f>'Expenditures 15-22'!K352</f>
        <v>1132</v>
      </c>
      <c r="L13" s="347"/>
    </row>
    <row r="14" spans="1:13" ht="15.75" customHeight="1" x14ac:dyDescent="0.2">
      <c r="A14" s="1598" t="s">
        <v>468</v>
      </c>
      <c r="B14" s="1600">
        <v>3000</v>
      </c>
      <c r="C14" s="1765">
        <f>'Expenditures 15-22'!K75</f>
        <v>23969</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1341764</v>
      </c>
      <c r="D15" s="1765">
        <f>'Expenditures 15-22'!K139</f>
        <v>0</v>
      </c>
      <c r="E15" s="1765">
        <f>'Expenditures 15-22'!K160</f>
        <v>0</v>
      </c>
      <c r="F15" s="1765">
        <f>'Expenditures 15-22'!K196</f>
        <v>100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6856211</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10063986</v>
      </c>
      <c r="D17" s="1710">
        <f t="shared" si="2"/>
        <v>518295</v>
      </c>
      <c r="E17" s="1710">
        <f t="shared" si="2"/>
        <v>6856211</v>
      </c>
      <c r="F17" s="1710">
        <f t="shared" si="2"/>
        <v>1002956</v>
      </c>
      <c r="G17" s="1710">
        <f t="shared" si="2"/>
        <v>538196</v>
      </c>
      <c r="H17" s="1710">
        <f t="shared" si="2"/>
        <v>0</v>
      </c>
      <c r="I17" s="468"/>
      <c r="J17" s="1710">
        <f>SUM(J12:J16)</f>
        <v>942964</v>
      </c>
      <c r="K17" s="1710">
        <f>SUM(K12:K16)</f>
        <v>1132</v>
      </c>
      <c r="L17" s="347"/>
    </row>
    <row r="18" spans="1:12" ht="15" customHeight="1" thickTop="1" x14ac:dyDescent="0.2">
      <c r="A18" s="1766" t="s">
        <v>1752</v>
      </c>
      <c r="B18" s="1767">
        <v>4180</v>
      </c>
      <c r="C18" s="1764">
        <f t="shared" ref="C18:H18" si="3">C9</f>
        <v>543623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10607609</v>
      </c>
      <c r="D19" s="1710">
        <f t="shared" si="4"/>
        <v>518295</v>
      </c>
      <c r="E19" s="1710">
        <f t="shared" si="4"/>
        <v>6856211</v>
      </c>
      <c r="F19" s="1710">
        <f t="shared" si="4"/>
        <v>1002956</v>
      </c>
      <c r="G19" s="1710">
        <f t="shared" si="4"/>
        <v>538196</v>
      </c>
      <c r="H19" s="1710">
        <f t="shared" si="4"/>
        <v>0</v>
      </c>
      <c r="I19" s="468"/>
      <c r="J19" s="1710">
        <f>SUM(J17:J18)</f>
        <v>942964</v>
      </c>
      <c r="K19" s="1710">
        <f>SUM(K17:K18)</f>
        <v>1132</v>
      </c>
      <c r="L19" s="347"/>
    </row>
    <row r="20" spans="1:12" ht="16.5" thickTop="1" thickBot="1" x14ac:dyDescent="0.25">
      <c r="A20" s="2180" t="s">
        <v>1753</v>
      </c>
      <c r="B20" s="2181"/>
      <c r="C20" s="1768">
        <f>C8-C17</f>
        <v>417020</v>
      </c>
      <c r="D20" s="1768">
        <f t="shared" ref="D20:K20" si="5">D8-D17</f>
        <v>60202</v>
      </c>
      <c r="E20" s="1768">
        <f t="shared" si="5"/>
        <v>-5415249</v>
      </c>
      <c r="F20" s="1768">
        <f t="shared" si="5"/>
        <v>141855</v>
      </c>
      <c r="G20" s="1768">
        <f t="shared" si="5"/>
        <v>-123964</v>
      </c>
      <c r="H20" s="1768">
        <f t="shared" si="5"/>
        <v>595</v>
      </c>
      <c r="I20" s="1768">
        <f t="shared" si="5"/>
        <v>61753</v>
      </c>
      <c r="J20" s="1768">
        <f t="shared" si="5"/>
        <v>-205602</v>
      </c>
      <c r="K20" s="1768">
        <f t="shared" si="5"/>
        <v>54390</v>
      </c>
      <c r="L20" s="347"/>
    </row>
    <row r="21" spans="1:12" ht="16.7" customHeight="1" thickTop="1" x14ac:dyDescent="0.2">
      <c r="A21" s="2192" t="s">
        <v>615</v>
      </c>
      <c r="B21" s="2193"/>
      <c r="C21" s="1592"/>
      <c r="D21" s="1593"/>
      <c r="E21" s="1593"/>
      <c r="F21" s="1593"/>
      <c r="G21" s="1593"/>
      <c r="H21" s="1593"/>
      <c r="I21" s="1593"/>
      <c r="J21" s="1593"/>
      <c r="K21" s="1594"/>
      <c r="L21" s="524"/>
    </row>
    <row r="22" spans="1:12" ht="15.75" customHeight="1" collapsed="1" x14ac:dyDescent="0.2">
      <c r="A22" s="2188" t="s">
        <v>616</v>
      </c>
      <c r="B22" s="2189"/>
      <c r="C22" s="477"/>
      <c r="D22" s="477"/>
      <c r="E22" s="477"/>
      <c r="F22" s="477"/>
      <c r="G22" s="477"/>
      <c r="H22" s="477"/>
      <c r="I22" s="477"/>
      <c r="J22" s="477"/>
      <c r="K22" s="477"/>
      <c r="L22" s="347"/>
    </row>
    <row r="23" spans="1:12" s="485" customFormat="1" ht="15.75" customHeight="1" x14ac:dyDescent="0.2">
      <c r="A23" s="2184" t="s">
        <v>310</v>
      </c>
      <c r="B23" s="2185"/>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v>1000000</v>
      </c>
      <c r="D25" s="467"/>
      <c r="E25" s="467"/>
      <c r="F25" s="467">
        <v>400000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v>3560</v>
      </c>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86" t="s">
        <v>1037</v>
      </c>
      <c r="B32" s="2187"/>
      <c r="C32" s="477"/>
      <c r="D32" s="477"/>
      <c r="E32" s="475"/>
      <c r="F32" s="477"/>
      <c r="G32" s="477"/>
      <c r="H32" s="477"/>
      <c r="I32" s="477"/>
      <c r="J32" s="477"/>
      <c r="K32" s="477"/>
      <c r="L32" s="524"/>
    </row>
    <row r="33" spans="1:12" s="485" customFormat="1" x14ac:dyDescent="0.2">
      <c r="A33" s="1511" t="s">
        <v>431</v>
      </c>
      <c r="B33" s="525">
        <v>7210</v>
      </c>
      <c r="C33" s="467"/>
      <c r="D33" s="467"/>
      <c r="E33" s="467">
        <v>4895000</v>
      </c>
      <c r="F33" s="467"/>
      <c r="G33" s="477"/>
      <c r="H33" s="467"/>
      <c r="I33" s="467"/>
      <c r="J33" s="467"/>
      <c r="K33" s="467"/>
      <c r="L33" s="524"/>
    </row>
    <row r="34" spans="1:12" s="485" customFormat="1" x14ac:dyDescent="0.2">
      <c r="A34" s="1511" t="s">
        <v>1057</v>
      </c>
      <c r="B34" s="525">
        <v>7220</v>
      </c>
      <c r="C34" s="467"/>
      <c r="D34" s="467"/>
      <c r="E34" s="467">
        <v>366914</v>
      </c>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31652</v>
      </c>
      <c r="F37" s="475"/>
      <c r="G37" s="475"/>
      <c r="H37" s="475"/>
      <c r="I37" s="477"/>
      <c r="J37" s="475"/>
      <c r="K37" s="475"/>
      <c r="L37" s="524"/>
    </row>
    <row r="38" spans="1:12" s="485" customFormat="1" x14ac:dyDescent="0.2">
      <c r="A38" s="1511" t="s">
        <v>461</v>
      </c>
      <c r="B38" s="525">
        <v>7500</v>
      </c>
      <c r="C38" s="477"/>
      <c r="D38" s="477"/>
      <c r="E38" s="1765">
        <f>SUM(C58:D61,H58:H61)</f>
        <v>1576</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25790</v>
      </c>
      <c r="F43" s="467"/>
      <c r="G43" s="467"/>
      <c r="H43" s="467"/>
      <c r="I43" s="467"/>
      <c r="J43" s="467"/>
      <c r="K43" s="467"/>
      <c r="L43" s="524"/>
    </row>
    <row r="44" spans="1:12" s="485" customFormat="1" ht="13.5" customHeight="1" thickBot="1" x14ac:dyDescent="0.25">
      <c r="A44" s="2194" t="s">
        <v>391</v>
      </c>
      <c r="B44" s="2195"/>
      <c r="C44" s="1725">
        <f>SUM(C24:C43)</f>
        <v>1003560</v>
      </c>
      <c r="D44" s="1725">
        <f t="shared" ref="D44:K44" si="6">SUM(D24:D43)</f>
        <v>0</v>
      </c>
      <c r="E44" s="1725">
        <f t="shared" si="6"/>
        <v>5320932</v>
      </c>
      <c r="F44" s="1725">
        <f t="shared" si="6"/>
        <v>400000</v>
      </c>
      <c r="G44" s="1725">
        <f t="shared" si="6"/>
        <v>0</v>
      </c>
      <c r="H44" s="1725">
        <f t="shared" si="6"/>
        <v>0</v>
      </c>
      <c r="I44" s="1725">
        <f t="shared" si="6"/>
        <v>0</v>
      </c>
      <c r="J44" s="1725">
        <f t="shared" si="6"/>
        <v>0</v>
      </c>
      <c r="K44" s="1725">
        <f t="shared" si="6"/>
        <v>0</v>
      </c>
      <c r="L44" s="524"/>
    </row>
    <row r="45" spans="1:12" ht="15.75" customHeight="1" thickTop="1" x14ac:dyDescent="0.2">
      <c r="A45" s="2188" t="s">
        <v>110</v>
      </c>
      <c r="B45" s="2189"/>
      <c r="C45" s="528"/>
      <c r="D45" s="528"/>
      <c r="E45" s="528"/>
      <c r="F45" s="528"/>
      <c r="G45" s="528"/>
      <c r="H45" s="528"/>
      <c r="I45" s="528"/>
      <c r="J45" s="528"/>
      <c r="K45" s="528"/>
      <c r="L45" s="347"/>
    </row>
    <row r="46" spans="1:12" s="485" customFormat="1" ht="15.75" customHeight="1" x14ac:dyDescent="0.2">
      <c r="A46" s="2196" t="s">
        <v>111</v>
      </c>
      <c r="B46" s="2197"/>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1400000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v>3560</v>
      </c>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31652</v>
      </c>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v>1576</v>
      </c>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v>25790</v>
      </c>
      <c r="D75" s="531"/>
      <c r="E75" s="530">
        <v>100777</v>
      </c>
      <c r="F75" s="532"/>
      <c r="G75" s="532"/>
      <c r="H75" s="532"/>
      <c r="I75" s="530"/>
      <c r="J75" s="530"/>
      <c r="K75" s="532"/>
      <c r="L75" s="524"/>
    </row>
    <row r="76" spans="1:12" s="485" customFormat="1" ht="14.25" thickTop="1" thickBot="1" x14ac:dyDescent="0.25">
      <c r="A76" s="2170" t="s">
        <v>459</v>
      </c>
      <c r="B76" s="2171"/>
      <c r="C76" s="1725">
        <f t="shared" ref="C76:K76" si="7">SUM(C47:C75)</f>
        <v>59018</v>
      </c>
      <c r="D76" s="1725">
        <f t="shared" si="7"/>
        <v>0</v>
      </c>
      <c r="E76" s="1725">
        <f t="shared" si="7"/>
        <v>104337</v>
      </c>
      <c r="F76" s="1725">
        <f t="shared" si="7"/>
        <v>0</v>
      </c>
      <c r="G76" s="1725">
        <f t="shared" si="7"/>
        <v>0</v>
      </c>
      <c r="H76" s="1725">
        <f t="shared" si="7"/>
        <v>0</v>
      </c>
      <c r="I76" s="1725">
        <f t="shared" si="7"/>
        <v>1400000</v>
      </c>
      <c r="J76" s="1725">
        <f t="shared" si="7"/>
        <v>0</v>
      </c>
      <c r="K76" s="1725">
        <f t="shared" si="7"/>
        <v>0</v>
      </c>
      <c r="L76" s="524"/>
    </row>
    <row r="77" spans="1:12" ht="14.25" thickTop="1" thickBot="1" x14ac:dyDescent="0.25">
      <c r="A77" s="2172" t="s">
        <v>1238</v>
      </c>
      <c r="B77" s="2173"/>
      <c r="C77" s="1725">
        <f t="shared" ref="C77:K77" si="8">C44-C76</f>
        <v>944542</v>
      </c>
      <c r="D77" s="1725">
        <f t="shared" si="8"/>
        <v>0</v>
      </c>
      <c r="E77" s="1725">
        <f t="shared" si="8"/>
        <v>5216595</v>
      </c>
      <c r="F77" s="1725">
        <f t="shared" si="8"/>
        <v>400000</v>
      </c>
      <c r="G77" s="1725">
        <f t="shared" si="8"/>
        <v>0</v>
      </c>
      <c r="H77" s="1725">
        <f t="shared" si="8"/>
        <v>0</v>
      </c>
      <c r="I77" s="1725">
        <f t="shared" si="8"/>
        <v>-1400000</v>
      </c>
      <c r="J77" s="1725">
        <f t="shared" si="8"/>
        <v>0</v>
      </c>
      <c r="K77" s="1725">
        <f t="shared" si="8"/>
        <v>0</v>
      </c>
      <c r="L77" s="347"/>
    </row>
    <row r="78" spans="1:12" ht="21.75" customHeight="1" thickTop="1" thickBot="1" x14ac:dyDescent="0.25">
      <c r="A78" s="2176" t="s">
        <v>617</v>
      </c>
      <c r="B78" s="2177"/>
      <c r="C78" s="1724">
        <f t="shared" ref="C78:K78" si="9">C20+C77</f>
        <v>1361562</v>
      </c>
      <c r="D78" s="1724">
        <f t="shared" si="9"/>
        <v>60202</v>
      </c>
      <c r="E78" s="1724">
        <f t="shared" si="9"/>
        <v>-198654</v>
      </c>
      <c r="F78" s="1724">
        <f t="shared" si="9"/>
        <v>541855</v>
      </c>
      <c r="G78" s="1724">
        <f t="shared" si="9"/>
        <v>-123964</v>
      </c>
      <c r="H78" s="1724">
        <f t="shared" si="9"/>
        <v>595</v>
      </c>
      <c r="I78" s="1724">
        <f t="shared" si="9"/>
        <v>-1338247</v>
      </c>
      <c r="J78" s="1724">
        <f t="shared" si="9"/>
        <v>-205602</v>
      </c>
      <c r="K78" s="1724">
        <f t="shared" si="9"/>
        <v>54390</v>
      </c>
      <c r="L78" s="533"/>
    </row>
    <row r="79" spans="1:12" ht="13.5" thickTop="1" x14ac:dyDescent="0.2">
      <c r="A79" s="1516" t="s">
        <v>2069</v>
      </c>
      <c r="B79" s="534"/>
      <c r="C79" s="478">
        <v>460661</v>
      </c>
      <c r="D79" s="535">
        <v>283161</v>
      </c>
      <c r="E79" s="535">
        <v>613653</v>
      </c>
      <c r="F79" s="535">
        <v>32700</v>
      </c>
      <c r="G79" s="535">
        <v>385452</v>
      </c>
      <c r="H79" s="535">
        <v>2516</v>
      </c>
      <c r="I79" s="535">
        <v>3296630</v>
      </c>
      <c r="J79" s="535">
        <v>786040</v>
      </c>
      <c r="K79" s="535">
        <v>149811</v>
      </c>
      <c r="L79" s="347"/>
    </row>
    <row r="80" spans="1:12" x14ac:dyDescent="0.2">
      <c r="A80" s="2182" t="s">
        <v>1894</v>
      </c>
      <c r="B80" s="2183"/>
      <c r="C80" s="467"/>
      <c r="D80" s="467"/>
      <c r="E80" s="467"/>
      <c r="F80" s="467"/>
      <c r="G80" s="467"/>
      <c r="H80" s="467"/>
      <c r="I80" s="467"/>
      <c r="J80" s="467"/>
      <c r="K80" s="467"/>
      <c r="L80" s="347"/>
    </row>
    <row r="81" spans="1:12" ht="13.5" thickBot="1" x14ac:dyDescent="0.25">
      <c r="A81" s="2174" t="s">
        <v>2070</v>
      </c>
      <c r="B81" s="2175"/>
      <c r="C81" s="1710">
        <f>(SUM(C78:C80))</f>
        <v>1822223</v>
      </c>
      <c r="D81" s="1710">
        <f>SUM(D78:D80)</f>
        <v>343363</v>
      </c>
      <c r="E81" s="1710">
        <f t="shared" ref="E81:K81" si="10">SUM(E78:E80)</f>
        <v>414999</v>
      </c>
      <c r="F81" s="1710">
        <f t="shared" si="10"/>
        <v>574555</v>
      </c>
      <c r="G81" s="1710">
        <f t="shared" si="10"/>
        <v>261488</v>
      </c>
      <c r="H81" s="1710">
        <f t="shared" si="10"/>
        <v>3111</v>
      </c>
      <c r="I81" s="1710">
        <f t="shared" si="10"/>
        <v>1958383</v>
      </c>
      <c r="J81" s="1710">
        <f t="shared" si="10"/>
        <v>580438</v>
      </c>
      <c r="K81" s="1710">
        <f t="shared" si="10"/>
        <v>204201</v>
      </c>
      <c r="L81" s="347"/>
    </row>
    <row r="82" spans="1:12" ht="0.75" customHeight="1" thickTop="1" thickBot="1" x14ac:dyDescent="0.25">
      <c r="A82" s="536" t="s">
        <v>360</v>
      </c>
      <c r="B82" s="537"/>
      <c r="C82" s="538">
        <f>(C81-C79)</f>
        <v>1361562</v>
      </c>
      <c r="D82" s="538">
        <f t="shared" ref="D82:K82" si="11">(D81-D79)</f>
        <v>60202</v>
      </c>
      <c r="E82" s="538">
        <f t="shared" si="11"/>
        <v>-198654</v>
      </c>
      <c r="F82" s="538">
        <f t="shared" si="11"/>
        <v>541855</v>
      </c>
      <c r="G82" s="538">
        <f t="shared" si="11"/>
        <v>-123964</v>
      </c>
      <c r="H82" s="538">
        <f t="shared" si="11"/>
        <v>595</v>
      </c>
      <c r="I82" s="538">
        <f t="shared" si="11"/>
        <v>-1338247</v>
      </c>
      <c r="J82" s="538">
        <f t="shared" si="11"/>
        <v>-205602</v>
      </c>
      <c r="K82" s="538">
        <f t="shared" si="11"/>
        <v>54390</v>
      </c>
    </row>
    <row r="83" spans="1:12" ht="14.25" hidden="1" thickTop="1" thickBot="1" x14ac:dyDescent="0.25">
      <c r="A83" s="539" t="s">
        <v>361</v>
      </c>
      <c r="B83" s="464"/>
      <c r="C83" s="540">
        <f>C82/C81</f>
        <v>0.74719833961046478</v>
      </c>
      <c r="D83" s="540">
        <f t="shared" ref="D83:K83" si="12">D82/D81</f>
        <v>0.17533048115259944</v>
      </c>
      <c r="E83" s="540">
        <f t="shared" si="12"/>
        <v>-0.47868549080841161</v>
      </c>
      <c r="F83" s="540">
        <f t="shared" si="12"/>
        <v>0.94308638859639204</v>
      </c>
      <c r="G83" s="540">
        <f t="shared" si="12"/>
        <v>-0.47407146790674909</v>
      </c>
      <c r="H83" s="540">
        <f t="shared" si="12"/>
        <v>0.19125683060109289</v>
      </c>
      <c r="I83" s="540">
        <f t="shared" si="12"/>
        <v>-0.68334283947522012</v>
      </c>
      <c r="J83" s="540">
        <f t="shared" si="12"/>
        <v>-0.35421871069778338</v>
      </c>
      <c r="K83" s="540">
        <f t="shared" si="12"/>
        <v>0.26635520883835045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I22" sqref="I22:S22"/>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8" t="s">
        <v>1901</v>
      </c>
      <c r="B1" s="452"/>
      <c r="C1" s="453" t="s">
        <v>444</v>
      </c>
      <c r="D1" s="453" t="s">
        <v>445</v>
      </c>
      <c r="E1" s="453" t="s">
        <v>446</v>
      </c>
      <c r="F1" s="453" t="s">
        <v>447</v>
      </c>
      <c r="G1" s="453" t="s">
        <v>448</v>
      </c>
      <c r="H1" s="453" t="s">
        <v>449</v>
      </c>
      <c r="I1" s="453" t="s">
        <v>450</v>
      </c>
      <c r="J1" s="453" t="s">
        <v>451</v>
      </c>
      <c r="K1" s="453" t="s">
        <v>779</v>
      </c>
    </row>
    <row r="2" spans="1:12" ht="36" x14ac:dyDescent="0.2">
      <c r="A2" s="217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3024125</v>
      </c>
      <c r="D5" s="481">
        <v>541962</v>
      </c>
      <c r="E5" s="466">
        <v>1437402</v>
      </c>
      <c r="F5" s="548">
        <v>216790</v>
      </c>
      <c r="G5" s="466">
        <v>193668</v>
      </c>
      <c r="H5" s="466"/>
      <c r="I5" s="466">
        <v>54199</v>
      </c>
      <c r="J5" s="467">
        <v>730856</v>
      </c>
      <c r="K5" s="466">
        <v>54199</v>
      </c>
    </row>
    <row r="6" spans="1:12" ht="15" x14ac:dyDescent="0.2">
      <c r="A6" s="463" t="s">
        <v>1760</v>
      </c>
      <c r="B6" s="470">
        <v>1130</v>
      </c>
      <c r="C6" s="466">
        <v>54199</v>
      </c>
      <c r="D6" s="466"/>
      <c r="E6" s="475"/>
      <c r="F6" s="475"/>
      <c r="G6" s="468"/>
      <c r="H6" s="468"/>
      <c r="I6" s="468"/>
      <c r="J6" s="468"/>
      <c r="K6" s="468"/>
    </row>
    <row r="7" spans="1:12" x14ac:dyDescent="0.2">
      <c r="A7" s="463" t="s">
        <v>112</v>
      </c>
      <c r="B7" s="549">
        <v>1140</v>
      </c>
      <c r="C7" s="466">
        <v>43361</v>
      </c>
      <c r="D7" s="466"/>
      <c r="E7" s="468"/>
      <c r="F7" s="467"/>
      <c r="G7" s="467"/>
      <c r="H7" s="467"/>
      <c r="I7" s="468"/>
      <c r="J7" s="468"/>
      <c r="K7" s="468"/>
    </row>
    <row r="8" spans="1:12" x14ac:dyDescent="0.2">
      <c r="A8" s="463" t="s">
        <v>432</v>
      </c>
      <c r="B8" s="470">
        <v>1150</v>
      </c>
      <c r="C8" s="475"/>
      <c r="D8" s="475"/>
      <c r="E8" s="477"/>
      <c r="F8" s="477"/>
      <c r="G8" s="481">
        <v>185713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3121685</v>
      </c>
      <c r="D12" s="1729">
        <f t="shared" si="0"/>
        <v>541962</v>
      </c>
      <c r="E12" s="1729">
        <f t="shared" si="0"/>
        <v>1437402</v>
      </c>
      <c r="F12" s="1729">
        <f t="shared" si="0"/>
        <v>216790</v>
      </c>
      <c r="G12" s="1729">
        <f t="shared" si="0"/>
        <v>379381</v>
      </c>
      <c r="H12" s="1729">
        <f t="shared" si="0"/>
        <v>0</v>
      </c>
      <c r="I12" s="1729">
        <f t="shared" si="0"/>
        <v>54199</v>
      </c>
      <c r="J12" s="1729">
        <f t="shared" si="0"/>
        <v>730856</v>
      </c>
      <c r="K12" s="1710">
        <f t="shared" si="0"/>
        <v>54199</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9519</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365913</v>
      </c>
      <c r="D16" s="466"/>
      <c r="E16" s="466"/>
      <c r="F16" s="466"/>
      <c r="G16" s="466">
        <v>31974</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375432</v>
      </c>
      <c r="D18" s="1732">
        <f t="shared" ref="D18:K18" si="1">SUM(D14:D17)</f>
        <v>0</v>
      </c>
      <c r="E18" s="1732">
        <f t="shared" si="1"/>
        <v>0</v>
      </c>
      <c r="F18" s="1732">
        <f t="shared" si="1"/>
        <v>0</v>
      </c>
      <c r="G18" s="1732">
        <f t="shared" si="1"/>
        <v>31974</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14542</v>
      </c>
      <c r="D65" s="466">
        <v>2778</v>
      </c>
      <c r="E65" s="466">
        <v>3560</v>
      </c>
      <c r="F65" s="467">
        <v>1552</v>
      </c>
      <c r="G65" s="466">
        <v>2877</v>
      </c>
      <c r="H65" s="466">
        <v>23</v>
      </c>
      <c r="I65" s="466">
        <v>7554</v>
      </c>
      <c r="J65" s="467">
        <v>6506</v>
      </c>
      <c r="K65" s="466">
        <v>1323</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14542</v>
      </c>
      <c r="D67" s="1710">
        <f t="shared" ref="D67:K67" si="2">SUM(D65:D66)</f>
        <v>2778</v>
      </c>
      <c r="E67" s="1710">
        <f t="shared" si="2"/>
        <v>3560</v>
      </c>
      <c r="F67" s="1710">
        <f t="shared" si="2"/>
        <v>1552</v>
      </c>
      <c r="G67" s="1710">
        <f t="shared" si="2"/>
        <v>2877</v>
      </c>
      <c r="H67" s="1710">
        <f t="shared" si="2"/>
        <v>23</v>
      </c>
      <c r="I67" s="1710">
        <f t="shared" si="2"/>
        <v>7554</v>
      </c>
      <c r="J67" s="1710">
        <f t="shared" si="2"/>
        <v>6506</v>
      </c>
      <c r="K67" s="1710">
        <f t="shared" si="2"/>
        <v>1323</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39837</v>
      </c>
      <c r="D69" s="468"/>
      <c r="E69" s="468"/>
      <c r="F69" s="468"/>
      <c r="G69" s="468"/>
      <c r="H69" s="468"/>
      <c r="I69" s="468"/>
      <c r="J69" s="468"/>
      <c r="K69" s="468"/>
    </row>
    <row r="70" spans="1:11" ht="12.75" customHeight="1" x14ac:dyDescent="0.2">
      <c r="A70" s="463" t="s">
        <v>1053</v>
      </c>
      <c r="B70" s="470">
        <v>1612</v>
      </c>
      <c r="C70" s="551">
        <v>5549</v>
      </c>
      <c r="D70" s="468"/>
      <c r="E70" s="468"/>
      <c r="F70" s="468"/>
      <c r="G70" s="468"/>
      <c r="H70" s="468"/>
      <c r="I70" s="468"/>
      <c r="J70" s="468"/>
      <c r="K70" s="468"/>
    </row>
    <row r="71" spans="1:11" ht="12.75" customHeight="1" x14ac:dyDescent="0.2">
      <c r="A71" s="463" t="s">
        <v>290</v>
      </c>
      <c r="B71" s="470">
        <v>1613</v>
      </c>
      <c r="C71" s="551">
        <v>9796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12184</v>
      </c>
      <c r="D73" s="468"/>
      <c r="E73" s="468"/>
      <c r="F73" s="468"/>
      <c r="G73" s="468"/>
      <c r="H73" s="468"/>
      <c r="I73" s="468"/>
      <c r="J73" s="468"/>
      <c r="K73" s="468"/>
    </row>
    <row r="74" spans="1:11" ht="12.75" customHeight="1" x14ac:dyDescent="0.2">
      <c r="A74" s="463" t="s">
        <v>25</v>
      </c>
      <c r="B74" s="470">
        <v>1690</v>
      </c>
      <c r="C74" s="551">
        <v>23695</v>
      </c>
      <c r="D74" s="468"/>
      <c r="E74" s="468"/>
      <c r="F74" s="468"/>
      <c r="G74" s="468"/>
      <c r="H74" s="468"/>
      <c r="I74" s="468"/>
      <c r="J74" s="468"/>
      <c r="K74" s="468"/>
    </row>
    <row r="75" spans="1:11" ht="12.75" customHeight="1" thickBot="1" x14ac:dyDescent="0.25">
      <c r="A75" s="1730" t="s">
        <v>568</v>
      </c>
      <c r="B75" s="1731"/>
      <c r="C75" s="1710">
        <f>SUM(C69:C74)</f>
        <v>91061</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26729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720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27449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40576</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40576</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31251</v>
      </c>
      <c r="E95" s="521"/>
      <c r="F95" s="521"/>
      <c r="G95" s="521"/>
      <c r="H95" s="521"/>
      <c r="I95" s="521"/>
      <c r="J95" s="521"/>
      <c r="K95" s="521"/>
    </row>
    <row r="96" spans="1:11" ht="12.75" customHeight="1" x14ac:dyDescent="0.2">
      <c r="A96" s="463" t="s">
        <v>408</v>
      </c>
      <c r="B96" s="470">
        <v>1920</v>
      </c>
      <c r="C96" s="551">
        <v>45841</v>
      </c>
      <c r="D96" s="551"/>
      <c r="E96" s="479"/>
      <c r="F96" s="478"/>
      <c r="G96" s="478"/>
      <c r="H96" s="478"/>
      <c r="I96" s="478"/>
      <c r="J96" s="478"/>
      <c r="K96" s="478"/>
    </row>
    <row r="97" spans="1:12" ht="12.75" customHeight="1" x14ac:dyDescent="0.2">
      <c r="A97" s="1517" t="s">
        <v>262</v>
      </c>
      <c r="B97" s="559">
        <v>1930</v>
      </c>
      <c r="C97" s="489">
        <v>100</v>
      </c>
      <c r="D97" s="467"/>
      <c r="E97" s="474"/>
      <c r="F97" s="467"/>
      <c r="G97" s="467"/>
      <c r="H97" s="467"/>
      <c r="I97" s="467"/>
      <c r="J97" s="467"/>
      <c r="K97" s="467"/>
    </row>
    <row r="98" spans="1:12" ht="12.75" customHeight="1" x14ac:dyDescent="0.2">
      <c r="A98" s="463" t="s">
        <v>198</v>
      </c>
      <c r="B98" s="470">
        <v>1940</v>
      </c>
      <c r="C98" s="489">
        <v>2660</v>
      </c>
      <c r="D98" s="466"/>
      <c r="E98" s="512"/>
      <c r="F98" s="466">
        <v>6752</v>
      </c>
      <c r="G98" s="512"/>
      <c r="H98" s="512"/>
      <c r="I98" s="510"/>
      <c r="J98" s="512"/>
      <c r="K98" s="512"/>
    </row>
    <row r="99" spans="1:12" ht="12.75" customHeight="1" x14ac:dyDescent="0.2">
      <c r="A99" s="463" t="s">
        <v>874</v>
      </c>
      <c r="B99" s="470">
        <v>1950</v>
      </c>
      <c r="C99" s="489">
        <v>6815</v>
      </c>
      <c r="D99" s="466">
        <v>2506</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7900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v>572</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133283</v>
      </c>
      <c r="D107" s="466"/>
      <c r="E107" s="466"/>
      <c r="F107" s="466"/>
      <c r="G107" s="466"/>
      <c r="H107" s="466"/>
      <c r="I107" s="466"/>
      <c r="J107" s="467"/>
      <c r="K107" s="466"/>
    </row>
    <row r="108" spans="1:12" ht="12.75" customHeight="1" thickBot="1" x14ac:dyDescent="0.25">
      <c r="A108" s="1730" t="s">
        <v>507</v>
      </c>
      <c r="B108" s="1734"/>
      <c r="C108" s="1729">
        <f>SUM(C95:C107)</f>
        <v>196599</v>
      </c>
      <c r="D108" s="1729">
        <f t="shared" ref="D108:K108" si="3">SUM(D95:D107)</f>
        <v>33757</v>
      </c>
      <c r="E108" s="1729">
        <f t="shared" si="3"/>
        <v>0</v>
      </c>
      <c r="F108" s="1729">
        <f t="shared" si="3"/>
        <v>6752</v>
      </c>
      <c r="G108" s="1729">
        <f t="shared" si="3"/>
        <v>0</v>
      </c>
      <c r="H108" s="1729">
        <f t="shared" si="3"/>
        <v>572</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3867344</v>
      </c>
      <c r="D109" s="1737">
        <f t="shared" si="4"/>
        <v>578497</v>
      </c>
      <c r="E109" s="1737">
        <f t="shared" si="4"/>
        <v>1440962</v>
      </c>
      <c r="F109" s="1737">
        <f t="shared" si="4"/>
        <v>225094</v>
      </c>
      <c r="G109" s="1737">
        <f t="shared" si="4"/>
        <v>414232</v>
      </c>
      <c r="H109" s="1737">
        <f t="shared" si="4"/>
        <v>595</v>
      </c>
      <c r="I109" s="1737">
        <f t="shared" si="4"/>
        <v>61753</v>
      </c>
      <c r="J109" s="1737">
        <f t="shared" si="4"/>
        <v>737362</v>
      </c>
      <c r="K109" s="1724">
        <f t="shared" si="4"/>
        <v>55522</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632866</v>
      </c>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632866</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3878662</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3878662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20129</v>
      </c>
      <c r="D124" s="561"/>
      <c r="E124" s="468"/>
      <c r="F124" s="548"/>
      <c r="G124" s="468"/>
      <c r="H124" s="468"/>
      <c r="I124" s="468"/>
      <c r="J124" s="468"/>
      <c r="K124" s="468"/>
    </row>
    <row r="125" spans="1:11" ht="12.75" customHeight="1" x14ac:dyDescent="0.2">
      <c r="A125" s="463" t="s">
        <v>1520</v>
      </c>
      <c r="B125" s="562">
        <v>3105</v>
      </c>
      <c r="C125" s="466">
        <v>74866</v>
      </c>
      <c r="D125" s="561"/>
      <c r="E125" s="468"/>
      <c r="F125" s="466"/>
      <c r="G125" s="468"/>
      <c r="H125" s="468"/>
      <c r="I125" s="468"/>
      <c r="J125" s="468"/>
      <c r="K125" s="468"/>
    </row>
    <row r="126" spans="1:11" ht="12.75" customHeight="1" x14ac:dyDescent="0.2">
      <c r="A126" s="463" t="s">
        <v>921</v>
      </c>
      <c r="B126" s="562">
        <v>3110</v>
      </c>
      <c r="C126" s="551">
        <v>117663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212658</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17764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4205</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21969</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7979</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12923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445956</v>
      </c>
      <c r="G151" s="467"/>
      <c r="H151" s="468"/>
      <c r="I151" s="468"/>
      <c r="J151" s="468"/>
      <c r="K151" s="468"/>
    </row>
    <row r="152" spans="1:11" ht="12.75" customHeight="1" x14ac:dyDescent="0.2">
      <c r="A152" s="463" t="s">
        <v>1116</v>
      </c>
      <c r="B152" s="562">
        <v>3510</v>
      </c>
      <c r="C152" s="551"/>
      <c r="D152" s="466"/>
      <c r="E152" s="561"/>
      <c r="F152" s="466">
        <v>236761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682717</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400831</v>
      </c>
      <c r="D158" s="578"/>
      <c r="E158" s="561"/>
      <c r="F158" s="576">
        <v>237000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98" t="s">
        <v>417</v>
      </c>
      <c r="B172" s="2199"/>
      <c r="C172" s="1744">
        <f t="shared" ref="C172:K172" si="6">SUM(C131,C140,C144,C145:C149,C154,C155:C170,C171)</f>
        <v>657110</v>
      </c>
      <c r="D172" s="1744">
        <f t="shared" si="6"/>
        <v>0</v>
      </c>
      <c r="E172" s="1744">
        <f t="shared" si="6"/>
        <v>0</v>
      </c>
      <c r="F172" s="1744">
        <f t="shared" si="6"/>
        <v>919717</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4535772</v>
      </c>
      <c r="D173" s="1737">
        <f>SUM(D121,D172)</f>
        <v>0</v>
      </c>
      <c r="E173" s="1737">
        <f>SUM(E121,E172)</f>
        <v>0</v>
      </c>
      <c r="F173" s="1737">
        <f t="shared" ref="F173:K173" si="7">SUM(F121,F172)</f>
        <v>919717</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200" t="s">
        <v>1571</v>
      </c>
      <c r="B175" s="2201"/>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204" t="s">
        <v>1763</v>
      </c>
      <c r="B178" s="220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208" t="s">
        <v>1762</v>
      </c>
      <c r="B179" s="2209"/>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206" t="s">
        <v>817</v>
      </c>
      <c r="B184" s="220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202" t="s">
        <v>1902</v>
      </c>
      <c r="B185" s="2203"/>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352556</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178708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531264</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282833</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282833</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14534</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442612</v>
      </c>
      <c r="D220" s="466"/>
      <c r="E220" s="468"/>
      <c r="F220" s="466"/>
      <c r="G220" s="466"/>
      <c r="H220" s="468"/>
      <c r="I220" s="468"/>
      <c r="J220" s="468"/>
      <c r="K220" s="468"/>
    </row>
    <row r="221" spans="1:11" ht="12.75" customHeight="1" x14ac:dyDescent="0.2">
      <c r="A221" s="463" t="s">
        <v>1113</v>
      </c>
      <c r="B221" s="470">
        <v>4625</v>
      </c>
      <c r="C221" s="551">
        <v>3724</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460870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47106</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26896</v>
      </c>
      <c r="D270" s="576"/>
      <c r="E270" s="468"/>
      <c r="F270" s="576"/>
      <c r="G270" s="576"/>
      <c r="H270" s="468"/>
      <c r="I270" s="468"/>
      <c r="J270" s="468"/>
      <c r="K270" s="468"/>
    </row>
    <row r="271" spans="1:11" ht="12.75" customHeight="1" thickTop="1" thickBot="1" x14ac:dyDescent="0.25">
      <c r="A271" s="463" t="s">
        <v>394</v>
      </c>
      <c r="B271" s="470">
        <v>4992</v>
      </c>
      <c r="C271" s="575">
        <v>96055</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1445024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1445024</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10481006</v>
      </c>
      <c r="D275" s="1737">
        <f t="shared" si="12"/>
        <v>578497</v>
      </c>
      <c r="E275" s="1737">
        <f t="shared" si="12"/>
        <v>1440962</v>
      </c>
      <c r="F275" s="1737">
        <f t="shared" si="12"/>
        <v>1144811</v>
      </c>
      <c r="G275" s="1737">
        <f t="shared" si="12"/>
        <v>414232</v>
      </c>
      <c r="H275" s="1737">
        <f t="shared" si="12"/>
        <v>595</v>
      </c>
      <c r="I275" s="1737">
        <f t="shared" si="12"/>
        <v>61753</v>
      </c>
      <c r="J275" s="1737">
        <f t="shared" si="12"/>
        <v>737362</v>
      </c>
      <c r="K275" s="1724">
        <f t="shared" si="12"/>
        <v>55522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4" activePane="bottomLeft" state="frozen"/>
      <selection activeCell="I22" sqref="I22:S22"/>
      <selection pane="bottomLeft" activeCell="I22" sqref="I22:S2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12"/>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18" t="s">
        <v>314</v>
      </c>
      <c r="B3" s="2219"/>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2472879</v>
      </c>
      <c r="D5" s="466">
        <v>753418</v>
      </c>
      <c r="E5" s="466">
        <v>8419</v>
      </c>
      <c r="F5" s="466">
        <v>117351</v>
      </c>
      <c r="G5" s="466"/>
      <c r="H5" s="466"/>
      <c r="I5" s="467"/>
      <c r="J5" s="467"/>
      <c r="K5" s="1693">
        <f>SUM(C5:J5)</f>
        <v>3352067</v>
      </c>
      <c r="L5" s="466">
        <v>3391165</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2329</v>
      </c>
      <c r="D7" s="467">
        <v>3</v>
      </c>
      <c r="E7" s="467">
        <v>2552</v>
      </c>
      <c r="F7" s="467">
        <v>17100</v>
      </c>
      <c r="G7" s="467"/>
      <c r="H7" s="467"/>
      <c r="I7" s="467"/>
      <c r="J7" s="467"/>
      <c r="K7" s="1693">
        <f t="shared" ref="K7:K32" si="0">SUM(C7:J7)</f>
        <v>21984</v>
      </c>
      <c r="L7" s="466">
        <v>15147</v>
      </c>
    </row>
    <row r="8" spans="1:14" x14ac:dyDescent="0.2">
      <c r="A8" s="1526" t="s">
        <v>166</v>
      </c>
      <c r="B8" s="615">
        <v>1200</v>
      </c>
      <c r="C8" s="466">
        <v>1008939</v>
      </c>
      <c r="D8" s="466">
        <v>336860</v>
      </c>
      <c r="E8" s="466">
        <v>5129</v>
      </c>
      <c r="F8" s="466">
        <v>35529</v>
      </c>
      <c r="G8" s="466"/>
      <c r="H8" s="466"/>
      <c r="I8" s="467"/>
      <c r="J8" s="467"/>
      <c r="K8" s="1693">
        <f t="shared" si="0"/>
        <v>1386457</v>
      </c>
      <c r="L8" s="466">
        <v>1468861</v>
      </c>
    </row>
    <row r="9" spans="1:14" x14ac:dyDescent="0.2">
      <c r="A9" s="1526" t="s">
        <v>744</v>
      </c>
      <c r="B9" s="615" t="s">
        <v>1024</v>
      </c>
      <c r="C9" s="467">
        <v>56177</v>
      </c>
      <c r="D9" s="467">
        <v>18686</v>
      </c>
      <c r="E9" s="467"/>
      <c r="F9" s="467"/>
      <c r="G9" s="467"/>
      <c r="H9" s="467"/>
      <c r="I9" s="467"/>
      <c r="J9" s="467"/>
      <c r="K9" s="1693">
        <f t="shared" si="0"/>
        <v>74863</v>
      </c>
      <c r="L9" s="466">
        <v>86081</v>
      </c>
    </row>
    <row r="10" spans="1:14" x14ac:dyDescent="0.2">
      <c r="A10" s="1526" t="s">
        <v>745</v>
      </c>
      <c r="B10" s="615">
        <v>1250</v>
      </c>
      <c r="C10" s="466">
        <v>207498</v>
      </c>
      <c r="D10" s="466">
        <v>58185</v>
      </c>
      <c r="E10" s="466">
        <v>13633</v>
      </c>
      <c r="F10" s="466">
        <v>23964</v>
      </c>
      <c r="G10" s="466">
        <v>45030</v>
      </c>
      <c r="H10" s="466"/>
      <c r="I10" s="467"/>
      <c r="J10" s="467"/>
      <c r="K10" s="1693">
        <f t="shared" si="0"/>
        <v>348310</v>
      </c>
      <c r="L10" s="466">
        <v>375850</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179508</v>
      </c>
      <c r="D13" s="466">
        <v>58486</v>
      </c>
      <c r="E13" s="466">
        <v>1247</v>
      </c>
      <c r="F13" s="466">
        <v>9681</v>
      </c>
      <c r="G13" s="466">
        <v>4734</v>
      </c>
      <c r="H13" s="466"/>
      <c r="I13" s="467"/>
      <c r="J13" s="467"/>
      <c r="K13" s="1693">
        <f t="shared" si="0"/>
        <v>253656</v>
      </c>
      <c r="L13" s="466">
        <v>258700</v>
      </c>
    </row>
    <row r="14" spans="1:14" x14ac:dyDescent="0.2">
      <c r="A14" s="1526" t="s">
        <v>1019</v>
      </c>
      <c r="B14" s="615">
        <v>1500</v>
      </c>
      <c r="C14" s="466">
        <v>114992</v>
      </c>
      <c r="D14" s="466">
        <v>8377</v>
      </c>
      <c r="E14" s="466">
        <v>30421</v>
      </c>
      <c r="F14" s="466">
        <v>16131</v>
      </c>
      <c r="G14" s="466"/>
      <c r="H14" s="466">
        <v>1939</v>
      </c>
      <c r="I14" s="467"/>
      <c r="J14" s="467"/>
      <c r="K14" s="1693">
        <f t="shared" si="0"/>
        <v>171860</v>
      </c>
      <c r="L14" s="466">
        <v>171200</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47547</v>
      </c>
      <c r="D17" s="467">
        <v>17128</v>
      </c>
      <c r="E17" s="467">
        <v>256</v>
      </c>
      <c r="F17" s="467">
        <v>390</v>
      </c>
      <c r="G17" s="467"/>
      <c r="H17" s="467"/>
      <c r="I17" s="467"/>
      <c r="J17" s="467"/>
      <c r="K17" s="1693">
        <f t="shared" si="0"/>
        <v>65321</v>
      </c>
      <c r="L17" s="466">
        <v>67000</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151135</v>
      </c>
      <c r="I22" s="617"/>
      <c r="J22" s="477"/>
      <c r="K22" s="1693">
        <f t="shared" si="0"/>
        <v>151135</v>
      </c>
      <c r="L22" s="471">
        <v>84000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4089869</v>
      </c>
      <c r="D33" s="1692">
        <f t="shared" ref="D33:L33" si="1">SUM(D5:D32)</f>
        <v>1251143</v>
      </c>
      <c r="E33" s="1692">
        <f t="shared" si="1"/>
        <v>61657</v>
      </c>
      <c r="F33" s="1692">
        <f t="shared" si="1"/>
        <v>220146</v>
      </c>
      <c r="G33" s="1692">
        <f t="shared" si="1"/>
        <v>49764</v>
      </c>
      <c r="H33" s="1692">
        <f t="shared" si="1"/>
        <v>153074</v>
      </c>
      <c r="I33" s="1692">
        <f t="shared" si="1"/>
        <v>0</v>
      </c>
      <c r="J33" s="1692">
        <f t="shared" si="1"/>
        <v>0</v>
      </c>
      <c r="K33" s="1692">
        <f t="shared" si="1"/>
        <v>5825653</v>
      </c>
      <c r="L33" s="1692">
        <f t="shared" si="1"/>
        <v>5918004</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c r="D36" s="481"/>
      <c r="E36" s="481"/>
      <c r="F36" s="481">
        <v>6000</v>
      </c>
      <c r="G36" s="481"/>
      <c r="H36" s="481"/>
      <c r="I36" s="467"/>
      <c r="J36" s="467"/>
      <c r="K36" s="1693">
        <f t="shared" ref="K36:K41" si="2">SUM(C36:J36)</f>
        <v>6000</v>
      </c>
      <c r="L36" s="466"/>
    </row>
    <row r="37" spans="1:14" x14ac:dyDescent="0.2">
      <c r="A37" s="1526" t="s">
        <v>1150</v>
      </c>
      <c r="B37" s="615">
        <v>2120</v>
      </c>
      <c r="C37" s="466">
        <v>170598</v>
      </c>
      <c r="D37" s="466">
        <v>47399</v>
      </c>
      <c r="E37" s="466">
        <v>516</v>
      </c>
      <c r="F37" s="466">
        <v>1614</v>
      </c>
      <c r="G37" s="466"/>
      <c r="H37" s="466"/>
      <c r="I37" s="467"/>
      <c r="J37" s="467"/>
      <c r="K37" s="1693">
        <f t="shared" si="2"/>
        <v>220127</v>
      </c>
      <c r="L37" s="466">
        <v>223526</v>
      </c>
    </row>
    <row r="38" spans="1:14" x14ac:dyDescent="0.2">
      <c r="A38" s="1526" t="s">
        <v>207</v>
      </c>
      <c r="B38" s="615">
        <v>2130</v>
      </c>
      <c r="C38" s="466">
        <v>126499</v>
      </c>
      <c r="D38" s="466">
        <v>30794</v>
      </c>
      <c r="E38" s="466">
        <v>3013</v>
      </c>
      <c r="F38" s="466">
        <v>4472</v>
      </c>
      <c r="G38" s="466"/>
      <c r="H38" s="466"/>
      <c r="I38" s="467"/>
      <c r="J38" s="467"/>
      <c r="K38" s="1693">
        <f t="shared" si="2"/>
        <v>164778</v>
      </c>
      <c r="L38" s="466">
        <v>144340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v>93901</v>
      </c>
      <c r="F40" s="466">
        <v>74</v>
      </c>
      <c r="G40" s="466"/>
      <c r="H40" s="466"/>
      <c r="I40" s="467"/>
      <c r="J40" s="467"/>
      <c r="K40" s="1693">
        <f t="shared" si="2"/>
        <v>93975</v>
      </c>
      <c r="L40" s="466">
        <v>90000</v>
      </c>
    </row>
    <row r="41" spans="1:14" x14ac:dyDescent="0.2">
      <c r="A41" s="1526" t="s">
        <v>1767</v>
      </c>
      <c r="B41" s="615">
        <v>2190</v>
      </c>
      <c r="C41" s="466">
        <v>17737</v>
      </c>
      <c r="D41" s="466">
        <v>50</v>
      </c>
      <c r="E41" s="466"/>
      <c r="F41" s="466"/>
      <c r="G41" s="466"/>
      <c r="H41" s="466"/>
      <c r="I41" s="467"/>
      <c r="J41" s="467"/>
      <c r="K41" s="1693">
        <f t="shared" si="2"/>
        <v>17787</v>
      </c>
      <c r="L41" s="466">
        <v>18050</v>
      </c>
    </row>
    <row r="42" spans="1:14" ht="12.75" customHeight="1" thickBot="1" x14ac:dyDescent="0.25">
      <c r="A42" s="1690" t="s">
        <v>580</v>
      </c>
      <c r="B42" s="1691" t="s">
        <v>739</v>
      </c>
      <c r="C42" s="1692">
        <f>SUM(C36:C41)</f>
        <v>314834</v>
      </c>
      <c r="D42" s="1692">
        <f t="shared" ref="D42:L42" si="3">SUM(D36:D41)</f>
        <v>78243</v>
      </c>
      <c r="E42" s="1692">
        <f t="shared" si="3"/>
        <v>97430</v>
      </c>
      <c r="F42" s="1692">
        <f t="shared" si="3"/>
        <v>12160</v>
      </c>
      <c r="G42" s="1692">
        <f t="shared" si="3"/>
        <v>0</v>
      </c>
      <c r="H42" s="1692">
        <f t="shared" si="3"/>
        <v>0</v>
      </c>
      <c r="I42" s="1692">
        <f t="shared" si="3"/>
        <v>0</v>
      </c>
      <c r="J42" s="1692">
        <f t="shared" si="3"/>
        <v>0</v>
      </c>
      <c r="K42" s="1692">
        <f t="shared" si="3"/>
        <v>502667</v>
      </c>
      <c r="L42" s="1692">
        <f t="shared" si="3"/>
        <v>475916</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c r="D44" s="481"/>
      <c r="E44" s="481">
        <v>14034</v>
      </c>
      <c r="F44" s="481">
        <v>1542</v>
      </c>
      <c r="G44" s="481"/>
      <c r="H44" s="481"/>
      <c r="I44" s="467"/>
      <c r="J44" s="467"/>
      <c r="K44" s="1694">
        <f>SUM(C44:J44)</f>
        <v>15576</v>
      </c>
      <c r="L44" s="481">
        <v>9850</v>
      </c>
    </row>
    <row r="45" spans="1:14" x14ac:dyDescent="0.2">
      <c r="A45" s="1526" t="s">
        <v>868</v>
      </c>
      <c r="B45" s="615">
        <v>2220</v>
      </c>
      <c r="C45" s="466">
        <v>52091</v>
      </c>
      <c r="D45" s="466">
        <v>19026</v>
      </c>
      <c r="E45" s="466">
        <v>198</v>
      </c>
      <c r="F45" s="466">
        <v>35</v>
      </c>
      <c r="G45" s="466"/>
      <c r="H45" s="466"/>
      <c r="I45" s="467"/>
      <c r="J45" s="467"/>
      <c r="K45" s="1694">
        <f>SUM(C45:J45)</f>
        <v>71350</v>
      </c>
      <c r="L45" s="466">
        <v>56925</v>
      </c>
    </row>
    <row r="46" spans="1:14" x14ac:dyDescent="0.2">
      <c r="A46" s="1526" t="s">
        <v>869</v>
      </c>
      <c r="B46" s="615">
        <v>2230</v>
      </c>
      <c r="C46" s="466"/>
      <c r="D46" s="466"/>
      <c r="E46" s="466"/>
      <c r="F46" s="466"/>
      <c r="G46" s="466"/>
      <c r="H46" s="466"/>
      <c r="I46" s="467"/>
      <c r="J46" s="467"/>
      <c r="K46" s="1694">
        <f>SUM(C46:J46)</f>
        <v>0</v>
      </c>
      <c r="L46" s="466">
        <v>10000</v>
      </c>
    </row>
    <row r="47" spans="1:14" ht="12.75" customHeight="1" thickBot="1" x14ac:dyDescent="0.25">
      <c r="A47" s="1690" t="s">
        <v>581</v>
      </c>
      <c r="B47" s="1691" t="s">
        <v>32</v>
      </c>
      <c r="C47" s="1692">
        <f>SUM(C44:C46)</f>
        <v>52091</v>
      </c>
      <c r="D47" s="1692">
        <f t="shared" ref="D47:K47" si="4">SUM(D44:D46)</f>
        <v>19026</v>
      </c>
      <c r="E47" s="1692">
        <f t="shared" si="4"/>
        <v>14232</v>
      </c>
      <c r="F47" s="1692">
        <f t="shared" si="4"/>
        <v>1577</v>
      </c>
      <c r="G47" s="1692">
        <f t="shared" si="4"/>
        <v>0</v>
      </c>
      <c r="H47" s="1692">
        <f t="shared" si="4"/>
        <v>0</v>
      </c>
      <c r="I47" s="1692">
        <f t="shared" si="4"/>
        <v>0</v>
      </c>
      <c r="J47" s="1692">
        <f t="shared" si="4"/>
        <v>0</v>
      </c>
      <c r="K47" s="1692">
        <f t="shared" si="4"/>
        <v>86926</v>
      </c>
      <c r="L47" s="1692">
        <f>SUM(L44:L46)</f>
        <v>76775</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4500</v>
      </c>
      <c r="D49" s="481">
        <v>563</v>
      </c>
      <c r="E49" s="481">
        <v>100111</v>
      </c>
      <c r="F49" s="481">
        <v>12348</v>
      </c>
      <c r="G49" s="481"/>
      <c r="H49" s="481">
        <v>14754</v>
      </c>
      <c r="I49" s="467"/>
      <c r="J49" s="467"/>
      <c r="K49" s="1694">
        <f>SUM(C49:J49)</f>
        <v>132276</v>
      </c>
      <c r="L49" s="481">
        <v>91275</v>
      </c>
    </row>
    <row r="50" spans="1:14" x14ac:dyDescent="0.2">
      <c r="A50" s="1526" t="s">
        <v>871</v>
      </c>
      <c r="B50" s="615">
        <v>2320</v>
      </c>
      <c r="C50" s="466">
        <v>99164</v>
      </c>
      <c r="D50" s="466">
        <v>51219</v>
      </c>
      <c r="E50" s="466">
        <v>4354</v>
      </c>
      <c r="F50" s="466">
        <v>982</v>
      </c>
      <c r="G50" s="466"/>
      <c r="H50" s="466">
        <v>55</v>
      </c>
      <c r="I50" s="467"/>
      <c r="J50" s="467"/>
      <c r="K50" s="1694">
        <f>SUM(C50:J50)</f>
        <v>155774</v>
      </c>
      <c r="L50" s="466">
        <v>147776</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103664</v>
      </c>
      <c r="D53" s="1692">
        <f t="shared" ref="D53:L53" si="5">SUM(D49:D52)</f>
        <v>51782</v>
      </c>
      <c r="E53" s="1692">
        <f t="shared" si="5"/>
        <v>104465</v>
      </c>
      <c r="F53" s="1692">
        <f t="shared" si="5"/>
        <v>13330</v>
      </c>
      <c r="G53" s="1692">
        <f t="shared" si="5"/>
        <v>0</v>
      </c>
      <c r="H53" s="1692">
        <f t="shared" si="5"/>
        <v>14809</v>
      </c>
      <c r="I53" s="1692">
        <f t="shared" si="5"/>
        <v>0</v>
      </c>
      <c r="J53" s="1692">
        <f t="shared" si="5"/>
        <v>0</v>
      </c>
      <c r="K53" s="1692">
        <f t="shared" si="5"/>
        <v>288050</v>
      </c>
      <c r="L53" s="1692">
        <f t="shared" si="5"/>
        <v>239051</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410974</v>
      </c>
      <c r="D55" s="481">
        <v>104195</v>
      </c>
      <c r="E55" s="481">
        <v>628</v>
      </c>
      <c r="F55" s="481">
        <v>621</v>
      </c>
      <c r="G55" s="481"/>
      <c r="H55" s="481">
        <v>1455</v>
      </c>
      <c r="I55" s="467"/>
      <c r="J55" s="467"/>
      <c r="K55" s="1694">
        <f>SUM(C55:J55)</f>
        <v>517873</v>
      </c>
      <c r="L55" s="481">
        <v>541900</v>
      </c>
    </row>
    <row r="56" spans="1:14" ht="12.75" customHeight="1" x14ac:dyDescent="0.2">
      <c r="A56" s="1530" t="s">
        <v>393</v>
      </c>
      <c r="B56" s="629">
        <v>2490</v>
      </c>
      <c r="C56" s="466"/>
      <c r="D56" s="466"/>
      <c r="E56" s="466">
        <v>19278</v>
      </c>
      <c r="F56" s="466"/>
      <c r="G56" s="466"/>
      <c r="H56" s="466"/>
      <c r="I56" s="467"/>
      <c r="J56" s="467"/>
      <c r="K56" s="1694">
        <f>SUM(C56:J56)</f>
        <v>19278</v>
      </c>
      <c r="L56" s="466">
        <v>31250</v>
      </c>
    </row>
    <row r="57" spans="1:14" s="343" customFormat="1" ht="12.75" customHeight="1" thickBot="1" x14ac:dyDescent="0.25">
      <c r="A57" s="1690" t="s">
        <v>281</v>
      </c>
      <c r="B57" s="1695" t="s">
        <v>34</v>
      </c>
      <c r="C57" s="1696">
        <f>SUM(C55:C56)</f>
        <v>410974</v>
      </c>
      <c r="D57" s="1696">
        <f t="shared" ref="D57:K57" si="6">SUM(D55:D56)</f>
        <v>104195</v>
      </c>
      <c r="E57" s="1696">
        <f t="shared" si="6"/>
        <v>19906</v>
      </c>
      <c r="F57" s="1696">
        <f t="shared" si="6"/>
        <v>621</v>
      </c>
      <c r="G57" s="1696">
        <f t="shared" si="6"/>
        <v>0</v>
      </c>
      <c r="H57" s="1696">
        <f t="shared" si="6"/>
        <v>1455</v>
      </c>
      <c r="I57" s="1696">
        <f t="shared" si="6"/>
        <v>0</v>
      </c>
      <c r="J57" s="1696">
        <f t="shared" si="6"/>
        <v>0</v>
      </c>
      <c r="K57" s="1696">
        <f t="shared" si="6"/>
        <v>537151</v>
      </c>
      <c r="L57" s="1692">
        <f>SUM(L55:L56)</f>
        <v>573150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101977</v>
      </c>
      <c r="D60" s="466">
        <v>117</v>
      </c>
      <c r="E60" s="466">
        <v>644</v>
      </c>
      <c r="F60" s="466">
        <v>2236</v>
      </c>
      <c r="G60" s="466"/>
      <c r="H60" s="466"/>
      <c r="I60" s="467"/>
      <c r="J60" s="467"/>
      <c r="K60" s="1694">
        <f t="shared" si="7"/>
        <v>104974</v>
      </c>
      <c r="L60" s="466">
        <v>118355</v>
      </c>
      <c r="M60" s="610"/>
      <c r="N60" s="610"/>
    </row>
    <row r="61" spans="1:14" s="343" customFormat="1" x14ac:dyDescent="0.2">
      <c r="A61" s="1526" t="s">
        <v>206</v>
      </c>
      <c r="B61" s="615">
        <v>2540</v>
      </c>
      <c r="C61" s="466">
        <v>242037</v>
      </c>
      <c r="D61" s="466">
        <v>61643</v>
      </c>
      <c r="E61" s="466">
        <v>5200</v>
      </c>
      <c r="F61" s="466"/>
      <c r="G61" s="466"/>
      <c r="H61" s="466"/>
      <c r="I61" s="467"/>
      <c r="J61" s="467"/>
      <c r="K61" s="1694">
        <f t="shared" si="7"/>
        <v>308880</v>
      </c>
      <c r="L61" s="466">
        <v>232007</v>
      </c>
      <c r="M61" s="610"/>
      <c r="N61" s="610"/>
    </row>
    <row r="62" spans="1:14" s="343" customFormat="1" x14ac:dyDescent="0.2">
      <c r="A62" s="1526" t="s">
        <v>1009</v>
      </c>
      <c r="B62" s="615">
        <v>2550</v>
      </c>
      <c r="C62" s="466"/>
      <c r="D62" s="466"/>
      <c r="E62" s="466"/>
      <c r="F62" s="466"/>
      <c r="G62" s="466"/>
      <c r="H62" s="466"/>
      <c r="I62" s="467"/>
      <c r="J62" s="467"/>
      <c r="K62" s="1694">
        <f t="shared" si="7"/>
        <v>0</v>
      </c>
      <c r="L62" s="466">
        <v>117000</v>
      </c>
      <c r="M62" s="610"/>
      <c r="N62" s="610"/>
    </row>
    <row r="63" spans="1:14" s="610" customFormat="1" x14ac:dyDescent="0.2">
      <c r="A63" s="1526" t="s">
        <v>102</v>
      </c>
      <c r="B63" s="615">
        <v>2560</v>
      </c>
      <c r="C63" s="466">
        <v>187221</v>
      </c>
      <c r="D63" s="466">
        <v>56060</v>
      </c>
      <c r="E63" s="466">
        <v>1350</v>
      </c>
      <c r="F63" s="466">
        <v>295287</v>
      </c>
      <c r="G63" s="466"/>
      <c r="H63" s="466">
        <v>828</v>
      </c>
      <c r="I63" s="467"/>
      <c r="J63" s="467"/>
      <c r="K63" s="1694">
        <f t="shared" si="7"/>
        <v>540746</v>
      </c>
      <c r="L63" s="466">
        <v>488369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531235</v>
      </c>
      <c r="D65" s="1692">
        <f t="shared" ref="D65:L65" si="8">SUM(D59:D64)</f>
        <v>117820</v>
      </c>
      <c r="E65" s="1692">
        <f t="shared" si="8"/>
        <v>7194</v>
      </c>
      <c r="F65" s="1692">
        <f t="shared" si="8"/>
        <v>297523</v>
      </c>
      <c r="G65" s="1692">
        <f t="shared" si="8"/>
        <v>0</v>
      </c>
      <c r="H65" s="1692">
        <f t="shared" si="8"/>
        <v>828</v>
      </c>
      <c r="I65" s="1692">
        <f t="shared" si="8"/>
        <v>0</v>
      </c>
      <c r="J65" s="1692">
        <f t="shared" si="8"/>
        <v>0</v>
      </c>
      <c r="K65" s="1692">
        <f t="shared" si="8"/>
        <v>954600</v>
      </c>
      <c r="L65" s="1692">
        <f t="shared" si="8"/>
        <v>955731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v>99583</v>
      </c>
      <c r="D71" s="466">
        <v>19150</v>
      </c>
      <c r="E71" s="466">
        <v>189060</v>
      </c>
      <c r="F71" s="466">
        <v>16762</v>
      </c>
      <c r="G71" s="466">
        <v>178651</v>
      </c>
      <c r="H71" s="466"/>
      <c r="I71" s="467"/>
      <c r="J71" s="467"/>
      <c r="K71" s="1694">
        <f>SUM(C71:J71)</f>
        <v>503206</v>
      </c>
      <c r="L71" s="466">
        <v>378710</v>
      </c>
      <c r="M71" s="610"/>
      <c r="N71" s="610"/>
    </row>
    <row r="72" spans="1:14" s="343" customFormat="1" ht="12.75" customHeight="1" thickBot="1" x14ac:dyDescent="0.25">
      <c r="A72" s="1690" t="s">
        <v>37</v>
      </c>
      <c r="B72" s="1697" t="s">
        <v>36</v>
      </c>
      <c r="C72" s="1692">
        <f>SUM(C67:C71)</f>
        <v>99583</v>
      </c>
      <c r="D72" s="1692">
        <f t="shared" ref="D72:K72" si="9">SUM(D67:D71)</f>
        <v>19150</v>
      </c>
      <c r="E72" s="1692">
        <f t="shared" si="9"/>
        <v>189060</v>
      </c>
      <c r="F72" s="1692">
        <f t="shared" si="9"/>
        <v>16762</v>
      </c>
      <c r="G72" s="1692">
        <f t="shared" si="9"/>
        <v>178651</v>
      </c>
      <c r="H72" s="1692">
        <f t="shared" si="9"/>
        <v>0</v>
      </c>
      <c r="I72" s="1692">
        <f t="shared" si="9"/>
        <v>0</v>
      </c>
      <c r="J72" s="1692">
        <f t="shared" si="9"/>
        <v>0</v>
      </c>
      <c r="K72" s="1692">
        <f t="shared" si="9"/>
        <v>503206</v>
      </c>
      <c r="L72" s="1692">
        <f>SUM(L67:L71)</f>
        <v>378710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v>2500</v>
      </c>
      <c r="M73" s="610"/>
      <c r="N73" s="610"/>
    </row>
    <row r="74" spans="1:14" ht="12.75" customHeight="1" thickTop="1" thickBot="1" x14ac:dyDescent="0.25">
      <c r="A74" s="1690" t="s">
        <v>864</v>
      </c>
      <c r="B74" s="1698">
        <v>2000</v>
      </c>
      <c r="C74" s="1699">
        <f>SUM(C42,C47,C53,C57,C65,C72,C73)</f>
        <v>1512381</v>
      </c>
      <c r="D74" s="1699">
        <f t="shared" ref="D74:K74" si="10">SUM(D42,D47,D53,D57,D65,D72,D73)</f>
        <v>390216</v>
      </c>
      <c r="E74" s="1699">
        <f t="shared" si="10"/>
        <v>432287</v>
      </c>
      <c r="F74" s="1699">
        <f t="shared" si="10"/>
        <v>341973</v>
      </c>
      <c r="G74" s="1699">
        <f t="shared" si="10"/>
        <v>178651</v>
      </c>
      <c r="H74" s="1699">
        <f t="shared" si="10"/>
        <v>17092</v>
      </c>
      <c r="I74" s="1699">
        <f t="shared" si="10"/>
        <v>0</v>
      </c>
      <c r="J74" s="1699">
        <f t="shared" si="10"/>
        <v>0</v>
      </c>
      <c r="K74" s="1699">
        <f t="shared" si="10"/>
        <v>2872600</v>
      </c>
      <c r="L74" s="1699">
        <f>SUM(L42,L47,L53,L57,L65,L72,L73)</f>
        <v>2701833</v>
      </c>
    </row>
    <row r="75" spans="1:14" s="259" customFormat="1" ht="15.75" customHeight="1" thickTop="1" thickBot="1" x14ac:dyDescent="0.25">
      <c r="A75" s="1632" t="s">
        <v>49</v>
      </c>
      <c r="B75" s="1633" t="s">
        <v>595</v>
      </c>
      <c r="C75" s="573"/>
      <c r="D75" s="573"/>
      <c r="E75" s="573">
        <v>14751</v>
      </c>
      <c r="F75" s="573">
        <v>2222</v>
      </c>
      <c r="G75" s="573">
        <v>6996</v>
      </c>
      <c r="H75" s="573"/>
      <c r="I75" s="531"/>
      <c r="J75" s="531"/>
      <c r="K75" s="1692">
        <f>SUM(C75:J75)</f>
        <v>23969</v>
      </c>
      <c r="L75" s="576">
        <v>14060</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v>159212</v>
      </c>
      <c r="F78" s="617"/>
      <c r="G78" s="617"/>
      <c r="H78" s="635"/>
      <c r="I78" s="477"/>
      <c r="J78" s="477"/>
      <c r="K78" s="1693">
        <f t="shared" ref="K78:K83" si="11">SUM(C78:J78)</f>
        <v>159212</v>
      </c>
      <c r="L78" s="481">
        <v>226448</v>
      </c>
    </row>
    <row r="79" spans="1:14" x14ac:dyDescent="0.2">
      <c r="A79" s="1526" t="s">
        <v>321</v>
      </c>
      <c r="B79" s="615">
        <v>4120</v>
      </c>
      <c r="C79" s="617"/>
      <c r="D79" s="617"/>
      <c r="E79" s="466">
        <v>554865</v>
      </c>
      <c r="F79" s="617"/>
      <c r="G79" s="617"/>
      <c r="H79" s="466"/>
      <c r="I79" s="477"/>
      <c r="J79" s="477"/>
      <c r="K79" s="1693">
        <f t="shared" si="11"/>
        <v>554865</v>
      </c>
      <c r="L79" s="466">
        <v>320000</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v>24000</v>
      </c>
      <c r="F83" s="617"/>
      <c r="G83" s="617"/>
      <c r="H83" s="466"/>
      <c r="I83" s="477"/>
      <c r="J83" s="477"/>
      <c r="K83" s="1693">
        <f t="shared" si="11"/>
        <v>24000</v>
      </c>
      <c r="L83" s="466">
        <v>24000</v>
      </c>
    </row>
    <row r="84" spans="1:12" ht="13.5" thickBot="1" x14ac:dyDescent="0.25">
      <c r="A84" s="1690" t="s">
        <v>1564</v>
      </c>
      <c r="B84" s="1700">
        <v>4100</v>
      </c>
      <c r="C84" s="617"/>
      <c r="D84" s="617"/>
      <c r="E84" s="1692">
        <f>SUM(E78:E83)</f>
        <v>738077</v>
      </c>
      <c r="F84" s="617"/>
      <c r="G84" s="617"/>
      <c r="H84" s="1692">
        <f>SUM(H78:H83)</f>
        <v>0</v>
      </c>
      <c r="I84" s="477"/>
      <c r="J84" s="477"/>
      <c r="K84" s="1692">
        <f>SUM(K78:K83)</f>
        <v>738077</v>
      </c>
      <c r="L84" s="1692">
        <f>SUM(L78:L83)</f>
        <v>570448</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110405</v>
      </c>
      <c r="I88" s="477"/>
      <c r="J88" s="477"/>
      <c r="K88" s="1699">
        <f t="shared" si="12"/>
        <v>110405</v>
      </c>
      <c r="L88" s="530">
        <v>118180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110405</v>
      </c>
      <c r="I92" s="477"/>
      <c r="J92" s="477"/>
      <c r="K92" s="1699">
        <f t="shared" si="12"/>
        <v>110405</v>
      </c>
      <c r="L92" s="1692">
        <f>SUM(L85:L91)</f>
        <v>118180</v>
      </c>
    </row>
    <row r="93" spans="1:12" ht="14.25" thickTop="1" thickBot="1" x14ac:dyDescent="0.25">
      <c r="A93" s="1534" t="s">
        <v>711</v>
      </c>
      <c r="B93" s="641">
        <v>4310</v>
      </c>
      <c r="C93" s="617"/>
      <c r="D93" s="617"/>
      <c r="E93" s="639"/>
      <c r="F93" s="617"/>
      <c r="G93" s="617"/>
      <c r="H93" s="642">
        <v>493282</v>
      </c>
      <c r="I93" s="477"/>
      <c r="J93" s="477"/>
      <c r="K93" s="1699">
        <f t="shared" si="12"/>
        <v>493282</v>
      </c>
      <c r="L93" s="532">
        <v>425349</v>
      </c>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493282</v>
      </c>
      <c r="I100" s="477"/>
      <c r="J100" s="477"/>
      <c r="K100" s="1699">
        <f>SUM(K93:K99)</f>
        <v>493282</v>
      </c>
      <c r="L100" s="1699">
        <f>SUM(L93:L99)</f>
        <v>425349</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738077</v>
      </c>
      <c r="F102" s="617"/>
      <c r="G102" s="617"/>
      <c r="H102" s="1699">
        <f>SUM(H84,H92,H100,H101)</f>
        <v>603687</v>
      </c>
      <c r="I102" s="477"/>
      <c r="J102" s="477"/>
      <c r="K102" s="1699">
        <f>SUM(K84,K92,K100,K101)</f>
        <v>1341764</v>
      </c>
      <c r="L102" s="1699">
        <f>SUM(L84,L92,L100,L101)</f>
        <v>1113977</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5602250</v>
      </c>
      <c r="D114" s="1692">
        <f t="shared" ref="D114:K114" si="13">SUM(D33,D74,D75,D102,D112,D113)</f>
        <v>1641359</v>
      </c>
      <c r="E114" s="1692">
        <f t="shared" si="13"/>
        <v>1246772</v>
      </c>
      <c r="F114" s="1692">
        <f t="shared" si="13"/>
        <v>564341</v>
      </c>
      <c r="G114" s="1692">
        <f t="shared" si="13"/>
        <v>235411</v>
      </c>
      <c r="H114" s="1692">
        <f>SUM(H33,H74,H75,H102,H112,H113)</f>
        <v>773853</v>
      </c>
      <c r="I114" s="1692">
        <f t="shared" si="13"/>
        <v>0</v>
      </c>
      <c r="J114" s="1692">
        <f t="shared" si="13"/>
        <v>0</v>
      </c>
      <c r="K114" s="1692">
        <f t="shared" si="13"/>
        <v>10063986</v>
      </c>
      <c r="L114" s="1692">
        <f>SUM(L33,L74,L75,L102,L112,L113)</f>
        <v>9747874</v>
      </c>
    </row>
    <row r="115" spans="1:14" ht="13.5" thickTop="1" x14ac:dyDescent="0.2">
      <c r="A115" s="2210" t="s">
        <v>1052</v>
      </c>
      <c r="B115" s="2211"/>
      <c r="C115" s="619"/>
      <c r="D115" s="619"/>
      <c r="E115" s="619"/>
      <c r="F115" s="619"/>
      <c r="G115" s="619"/>
      <c r="H115" s="619"/>
      <c r="I115" s="619"/>
      <c r="J115" s="619"/>
      <c r="K115" s="1706">
        <f>'Revenues 9-14'!C275-'Expenditures 15-22'!K114</f>
        <v>417020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5" t="s">
        <v>313</v>
      </c>
      <c r="B117" s="2216"/>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33538</v>
      </c>
      <c r="D124" s="466">
        <v>50</v>
      </c>
      <c r="E124" s="466">
        <v>112521</v>
      </c>
      <c r="F124" s="466">
        <v>372186</v>
      </c>
      <c r="G124" s="466"/>
      <c r="H124" s="466"/>
      <c r="I124" s="467"/>
      <c r="J124" s="467"/>
      <c r="K124" s="1692">
        <f>SUM(C124:J124)</f>
        <v>518295</v>
      </c>
      <c r="L124" s="466">
        <v>580157</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33538</v>
      </c>
      <c r="D127" s="1692">
        <f t="shared" ref="D127:L127" si="14">SUM(D122:D126)</f>
        <v>50</v>
      </c>
      <c r="E127" s="1692">
        <f t="shared" si="14"/>
        <v>112521</v>
      </c>
      <c r="F127" s="1692">
        <f t="shared" si="14"/>
        <v>372186</v>
      </c>
      <c r="G127" s="1692">
        <f t="shared" si="14"/>
        <v>0</v>
      </c>
      <c r="H127" s="1692">
        <f t="shared" si="14"/>
        <v>0</v>
      </c>
      <c r="I127" s="1692">
        <f t="shared" si="14"/>
        <v>0</v>
      </c>
      <c r="J127" s="1692">
        <f t="shared" si="14"/>
        <v>0</v>
      </c>
      <c r="K127" s="1692">
        <f t="shared" si="14"/>
        <v>518295</v>
      </c>
      <c r="L127" s="1692">
        <f t="shared" si="14"/>
        <v>580157</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33538</v>
      </c>
      <c r="D129" s="1699">
        <f t="shared" ref="D129:L129" si="15">SUM(D120,D127,D128)</f>
        <v>50</v>
      </c>
      <c r="E129" s="1699">
        <f t="shared" si="15"/>
        <v>112521</v>
      </c>
      <c r="F129" s="1699">
        <f t="shared" si="15"/>
        <v>372186</v>
      </c>
      <c r="G129" s="1699">
        <f t="shared" si="15"/>
        <v>0</v>
      </c>
      <c r="H129" s="1699">
        <f t="shared" si="15"/>
        <v>0</v>
      </c>
      <c r="I129" s="1699">
        <f t="shared" si="15"/>
        <v>0</v>
      </c>
      <c r="J129" s="1699">
        <f t="shared" si="15"/>
        <v>0</v>
      </c>
      <c r="K129" s="1699">
        <f t="shared" si="15"/>
        <v>518295</v>
      </c>
      <c r="L129" s="1699">
        <f t="shared" si="15"/>
        <v>580157</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227" t="s">
        <v>640</v>
      </c>
      <c r="B151" s="2207"/>
      <c r="C151" s="1692">
        <f>SUM(C129,C130,C139,C149,C150)</f>
        <v>33538</v>
      </c>
      <c r="D151" s="1692">
        <f t="shared" ref="D151:K151" si="16">SUM(D129,D130,D139,D149,D150)</f>
        <v>50</v>
      </c>
      <c r="E151" s="1692">
        <f t="shared" si="16"/>
        <v>112521</v>
      </c>
      <c r="F151" s="1692">
        <f t="shared" si="16"/>
        <v>372186</v>
      </c>
      <c r="G151" s="1692">
        <f t="shared" si="16"/>
        <v>0</v>
      </c>
      <c r="H151" s="1692">
        <f t="shared" si="16"/>
        <v>0</v>
      </c>
      <c r="I151" s="1692">
        <f t="shared" si="16"/>
        <v>0</v>
      </c>
      <c r="J151" s="1692">
        <f t="shared" si="16"/>
        <v>0</v>
      </c>
      <c r="K151" s="1692">
        <f t="shared" si="16"/>
        <v>518295</v>
      </c>
      <c r="L151" s="1692">
        <f>SUM(L129,L130,L139,L149,L150)</f>
        <v>580157</v>
      </c>
    </row>
    <row r="152" spans="1:14" ht="12.75" customHeight="1" thickTop="1" x14ac:dyDescent="0.2">
      <c r="A152" s="2230" t="s">
        <v>1239</v>
      </c>
      <c r="B152" s="2231"/>
      <c r="C152" s="619"/>
      <c r="D152" s="619"/>
      <c r="E152" s="619"/>
      <c r="F152" s="619"/>
      <c r="G152" s="619"/>
      <c r="H152" s="619"/>
      <c r="I152" s="619"/>
      <c r="J152" s="617"/>
      <c r="K152" s="1706">
        <f>'Revenues 9-14'!D275-'Expenditures 15-22'!K151</f>
        <v>60202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5" t="s">
        <v>641</v>
      </c>
      <c r="B154" s="221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594880</v>
      </c>
      <c r="I169" s="617"/>
      <c r="J169" s="617"/>
      <c r="K169" s="1693">
        <f>SUM(C169:H169)</f>
        <v>594880</v>
      </c>
      <c r="L169" s="657">
        <v>565734</v>
      </c>
    </row>
    <row r="170" spans="1:14" ht="33.75" customHeight="1" x14ac:dyDescent="0.2">
      <c r="A170" s="670" t="s">
        <v>1768</v>
      </c>
      <c r="B170" s="672" t="s">
        <v>31</v>
      </c>
      <c r="C170" s="617"/>
      <c r="D170" s="617"/>
      <c r="E170" s="617"/>
      <c r="F170" s="617"/>
      <c r="G170" s="617"/>
      <c r="H170" s="569">
        <v>6256313</v>
      </c>
      <c r="I170" s="617"/>
      <c r="J170" s="617"/>
      <c r="K170" s="1693">
        <f>SUM(C170:J170)</f>
        <v>6256313</v>
      </c>
      <c r="L170" s="569">
        <v>1136868</v>
      </c>
    </row>
    <row r="171" spans="1:14" ht="15.75" customHeight="1" x14ac:dyDescent="0.2">
      <c r="A171" s="622" t="s">
        <v>789</v>
      </c>
      <c r="B171" s="673" t="s">
        <v>86</v>
      </c>
      <c r="C171" s="617"/>
      <c r="D171" s="617"/>
      <c r="E171" s="466"/>
      <c r="F171" s="617"/>
      <c r="G171" s="617"/>
      <c r="H171" s="569">
        <v>5018</v>
      </c>
      <c r="I171" s="477"/>
      <c r="J171" s="617"/>
      <c r="K171" s="1693">
        <f>SUM(C171:J171)</f>
        <v>5018</v>
      </c>
      <c r="L171" s="569">
        <v>6000</v>
      </c>
    </row>
    <row r="172" spans="1:14" ht="12.75" customHeight="1" thickBot="1" x14ac:dyDescent="0.25">
      <c r="A172" s="1690" t="s">
        <v>658</v>
      </c>
      <c r="B172" s="1691" t="s">
        <v>512</v>
      </c>
      <c r="C172" s="617"/>
      <c r="D172" s="617"/>
      <c r="E172" s="1699">
        <f>SUM(E168,E169,E170,E171)</f>
        <v>0</v>
      </c>
      <c r="F172" s="617"/>
      <c r="G172" s="617"/>
      <c r="H172" s="1699">
        <f>SUM(H168,H169,H170,H171)</f>
        <v>6856211</v>
      </c>
      <c r="I172" s="639"/>
      <c r="J172" s="617"/>
      <c r="K172" s="1699">
        <f>SUM(K168,K169,K170,K171)</f>
        <v>6856211</v>
      </c>
      <c r="L172" s="1699">
        <f>SUM(L168,L169,L170,L171)</f>
        <v>1708602</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6856211</v>
      </c>
      <c r="I174" s="639"/>
      <c r="J174" s="617"/>
      <c r="K174" s="1699">
        <f>SUM(K160,K172,K173)</f>
        <v>6856211</v>
      </c>
      <c r="L174" s="1699">
        <f>SUM(L160,L172,L173)</f>
        <v>1708602</v>
      </c>
    </row>
    <row r="175" spans="1:14" ht="13.5" thickTop="1" x14ac:dyDescent="0.2">
      <c r="A175" s="2210" t="s">
        <v>1052</v>
      </c>
      <c r="B175" s="2211"/>
      <c r="C175" s="617"/>
      <c r="D175" s="617"/>
      <c r="E175" s="617"/>
      <c r="F175" s="617"/>
      <c r="G175" s="617"/>
      <c r="H175" s="619"/>
      <c r="I175" s="617"/>
      <c r="J175" s="617"/>
      <c r="K175" s="1706">
        <f>'Revenues 9-14'!E275-'Expenditures 15-22'!K174</f>
        <v>-5415249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67101</v>
      </c>
      <c r="D180" s="466">
        <v>6848</v>
      </c>
      <c r="E180" s="466"/>
      <c r="F180" s="466"/>
      <c r="G180" s="466"/>
      <c r="H180" s="466"/>
      <c r="I180" s="467"/>
      <c r="J180" s="467"/>
      <c r="K180" s="1693">
        <f>SUM(C180:J180)</f>
        <v>73949</v>
      </c>
      <c r="L180" s="466">
        <v>68625</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452717</v>
      </c>
      <c r="D182" s="466">
        <v>37060</v>
      </c>
      <c r="E182" s="466">
        <v>334941</v>
      </c>
      <c r="F182" s="466">
        <v>104179</v>
      </c>
      <c r="G182" s="466">
        <v>10</v>
      </c>
      <c r="H182" s="466"/>
      <c r="I182" s="467"/>
      <c r="J182" s="467"/>
      <c r="K182" s="1693">
        <f>SUM(C182:J182)</f>
        <v>928907</v>
      </c>
      <c r="L182" s="466">
        <v>917984</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519818</v>
      </c>
      <c r="D184" s="1699">
        <f t="shared" ref="D184:J184" si="17">SUM(D180,D182,D183)</f>
        <v>43908</v>
      </c>
      <c r="E184" s="1699">
        <f t="shared" si="17"/>
        <v>334941</v>
      </c>
      <c r="F184" s="1699">
        <f t="shared" si="17"/>
        <v>104179</v>
      </c>
      <c r="G184" s="1699">
        <f t="shared" si="17"/>
        <v>10</v>
      </c>
      <c r="H184" s="1699">
        <f t="shared" si="17"/>
        <v>0</v>
      </c>
      <c r="I184" s="1699">
        <f t="shared" si="17"/>
        <v>0</v>
      </c>
      <c r="J184" s="1699">
        <f t="shared" si="17"/>
        <v>0</v>
      </c>
      <c r="K184" s="1699">
        <f>SUM(K180,K182,K183)</f>
        <v>1002856</v>
      </c>
      <c r="L184" s="1699">
        <f>SUM(L180, L182:L183)</f>
        <v>986609</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v>100</v>
      </c>
      <c r="F189" s="617"/>
      <c r="G189" s="617"/>
      <c r="H189" s="466"/>
      <c r="I189" s="477"/>
      <c r="J189" s="617"/>
      <c r="K189" s="1693">
        <f t="shared" si="18"/>
        <v>100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100</v>
      </c>
      <c r="F194" s="617"/>
      <c r="G194" s="617"/>
      <c r="H194" s="1692">
        <f>SUM(H188:H193)</f>
        <v>0</v>
      </c>
      <c r="I194" s="477"/>
      <c r="J194" s="617"/>
      <c r="K194" s="1692">
        <f>SUM(K188:K193)</f>
        <v>100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100</v>
      </c>
      <c r="F196" s="617"/>
      <c r="G196" s="617"/>
      <c r="H196" s="1699">
        <f>SUM(H194,H195)</f>
        <v>0</v>
      </c>
      <c r="I196" s="477"/>
      <c r="J196" s="617"/>
      <c r="K196" s="1699">
        <f>SUM(K194,K195)</f>
        <v>100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519818</v>
      </c>
      <c r="D210" s="1692">
        <f>SUM(D184,D185)</f>
        <v>43908</v>
      </c>
      <c r="E210" s="1692">
        <f>SUM(E184,E185,E196)</f>
        <v>335041</v>
      </c>
      <c r="F210" s="1692">
        <f>SUM(F184,F185)</f>
        <v>104179</v>
      </c>
      <c r="G210" s="1692">
        <f>SUM(G184,G185)</f>
        <v>10</v>
      </c>
      <c r="H210" s="1692">
        <f>SUM(H184,H185,H196,H208,H209)</f>
        <v>0</v>
      </c>
      <c r="I210" s="1692">
        <f>SUM(I184,I185)</f>
        <v>0</v>
      </c>
      <c r="J210" s="1692">
        <f>SUM(J184,J185)</f>
        <v>0</v>
      </c>
      <c r="K210" s="1693">
        <f>SUM(K184,K185,K196,K208,K209)</f>
        <v>1002956</v>
      </c>
      <c r="L210" s="1692">
        <f>SUM(L184,L185,L196,L208,L209)</f>
        <v>986609</v>
      </c>
    </row>
    <row r="211" spans="1:14" ht="13.5" thickTop="1" x14ac:dyDescent="0.2">
      <c r="A211" s="2210" t="s">
        <v>1052</v>
      </c>
      <c r="B211" s="2211"/>
      <c r="C211" s="619"/>
      <c r="D211" s="619"/>
      <c r="E211" s="619"/>
      <c r="F211" s="619"/>
      <c r="G211" s="619"/>
      <c r="H211" s="619"/>
      <c r="I211" s="617"/>
      <c r="J211" s="617"/>
      <c r="K211" s="1706">
        <f>'Revenues 9-14'!F275-'Expenditures 15-22'!K210</f>
        <v>141855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2" t="s">
        <v>1021</v>
      </c>
      <c r="B213" s="2233"/>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41582</v>
      </c>
      <c r="E215" s="617"/>
      <c r="F215" s="617"/>
      <c r="G215" s="617"/>
      <c r="H215" s="617"/>
      <c r="I215" s="617"/>
      <c r="J215" s="617"/>
      <c r="K215" s="1693">
        <f>D215</f>
        <v>41582</v>
      </c>
      <c r="L215" s="466">
        <v>29200</v>
      </c>
    </row>
    <row r="216" spans="1:14" x14ac:dyDescent="0.2">
      <c r="A216" s="1526" t="s">
        <v>165</v>
      </c>
      <c r="B216" s="615" t="s">
        <v>1023</v>
      </c>
      <c r="C216" s="617"/>
      <c r="D216" s="467">
        <v>167</v>
      </c>
      <c r="E216" s="617"/>
      <c r="F216" s="617"/>
      <c r="G216" s="617"/>
      <c r="H216" s="617"/>
      <c r="I216" s="617"/>
      <c r="J216" s="617"/>
      <c r="K216" s="1693">
        <f t="shared" ref="K216:K228" si="19">D216</f>
        <v>167</v>
      </c>
      <c r="L216" s="466">
        <v>18430</v>
      </c>
    </row>
    <row r="217" spans="1:14" x14ac:dyDescent="0.2">
      <c r="A217" s="1526" t="s">
        <v>166</v>
      </c>
      <c r="B217" s="615">
        <v>1200</v>
      </c>
      <c r="C217" s="617"/>
      <c r="D217" s="466">
        <v>90873</v>
      </c>
      <c r="E217" s="617"/>
      <c r="F217" s="617"/>
      <c r="G217" s="617"/>
      <c r="H217" s="617"/>
      <c r="I217" s="617"/>
      <c r="J217" s="617"/>
      <c r="K217" s="1693">
        <f t="shared" si="19"/>
        <v>90873</v>
      </c>
      <c r="L217" s="466">
        <v>103090</v>
      </c>
    </row>
    <row r="218" spans="1:14" x14ac:dyDescent="0.2">
      <c r="A218" s="1526" t="s">
        <v>295</v>
      </c>
      <c r="B218" s="615" t="s">
        <v>1024</v>
      </c>
      <c r="C218" s="617"/>
      <c r="D218" s="467">
        <v>8440</v>
      </c>
      <c r="E218" s="617"/>
      <c r="F218" s="617"/>
      <c r="G218" s="617"/>
      <c r="H218" s="617"/>
      <c r="I218" s="617"/>
      <c r="J218" s="617"/>
      <c r="K218" s="1693">
        <f t="shared" si="19"/>
        <v>8440</v>
      </c>
      <c r="L218" s="466">
        <v>6910</v>
      </c>
    </row>
    <row r="219" spans="1:14" x14ac:dyDescent="0.2">
      <c r="A219" s="1526" t="s">
        <v>296</v>
      </c>
      <c r="B219" s="615">
        <v>1250</v>
      </c>
      <c r="C219" s="617"/>
      <c r="D219" s="466">
        <v>2936</v>
      </c>
      <c r="E219" s="617"/>
      <c r="F219" s="617"/>
      <c r="G219" s="617"/>
      <c r="H219" s="617"/>
      <c r="I219" s="617"/>
      <c r="J219" s="617"/>
      <c r="K219" s="1693">
        <f t="shared" si="19"/>
        <v>2936</v>
      </c>
      <c r="L219" s="466">
        <v>2900</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v>3131</v>
      </c>
      <c r="E221" s="617"/>
      <c r="F221" s="617"/>
      <c r="G221" s="617"/>
      <c r="H221" s="617"/>
      <c r="I221" s="617"/>
      <c r="J221" s="617"/>
      <c r="K221" s="1693">
        <f t="shared" si="19"/>
        <v>3131</v>
      </c>
      <c r="L221" s="466">
        <v>4400</v>
      </c>
    </row>
    <row r="222" spans="1:14" x14ac:dyDescent="0.2">
      <c r="A222" s="1526" t="s">
        <v>746</v>
      </c>
      <c r="B222" s="615">
        <v>1400</v>
      </c>
      <c r="C222" s="617"/>
      <c r="D222" s="466">
        <v>6236</v>
      </c>
      <c r="E222" s="617"/>
      <c r="F222" s="617"/>
      <c r="G222" s="617"/>
      <c r="H222" s="617"/>
      <c r="I222" s="617"/>
      <c r="J222" s="617"/>
      <c r="K222" s="1693">
        <f t="shared" si="19"/>
        <v>6236</v>
      </c>
      <c r="L222" s="466">
        <v>5400</v>
      </c>
    </row>
    <row r="223" spans="1:14" x14ac:dyDescent="0.2">
      <c r="A223" s="1526" t="s">
        <v>1019</v>
      </c>
      <c r="B223" s="615">
        <v>1500</v>
      </c>
      <c r="C223" s="617"/>
      <c r="D223" s="466"/>
      <c r="E223" s="617"/>
      <c r="F223" s="617"/>
      <c r="G223" s="617"/>
      <c r="H223" s="617"/>
      <c r="I223" s="617"/>
      <c r="J223" s="617"/>
      <c r="K223" s="1693">
        <f t="shared" si="19"/>
        <v>0</v>
      </c>
      <c r="L223" s="466"/>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834</v>
      </c>
      <c r="E226" s="617"/>
      <c r="F226" s="617"/>
      <c r="G226" s="617"/>
      <c r="H226" s="617"/>
      <c r="I226" s="617"/>
      <c r="J226" s="617"/>
      <c r="K226" s="1693">
        <f t="shared" si="19"/>
        <v>834</v>
      </c>
      <c r="L226" s="466">
        <v>900</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154199</v>
      </c>
      <c r="E229" s="617"/>
      <c r="F229" s="617"/>
      <c r="G229" s="617"/>
      <c r="H229" s="617"/>
      <c r="I229" s="617"/>
      <c r="J229" s="617"/>
      <c r="K229" s="1692">
        <f>SUM(K215:K228)</f>
        <v>154199</v>
      </c>
      <c r="L229" s="1692">
        <f>SUM(L215:L228)</f>
        <v>171230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c r="E232" s="617"/>
      <c r="F232" s="617"/>
      <c r="G232" s="617"/>
      <c r="H232" s="617"/>
      <c r="I232" s="617"/>
      <c r="J232" s="617"/>
      <c r="K232" s="1693">
        <f t="shared" ref="K232:K237" si="20">D232</f>
        <v>0</v>
      </c>
      <c r="L232" s="466">
        <v>200</v>
      </c>
    </row>
    <row r="233" spans="1:12" x14ac:dyDescent="0.2">
      <c r="A233" s="1526" t="s">
        <v>1150</v>
      </c>
      <c r="B233" s="615">
        <v>2120</v>
      </c>
      <c r="C233" s="617"/>
      <c r="D233" s="466">
        <v>2278</v>
      </c>
      <c r="E233" s="617"/>
      <c r="F233" s="617"/>
      <c r="G233" s="617"/>
      <c r="H233" s="617"/>
      <c r="I233" s="617"/>
      <c r="J233" s="617"/>
      <c r="K233" s="1693">
        <f t="shared" si="20"/>
        <v>2278</v>
      </c>
      <c r="L233" s="466">
        <v>2500</v>
      </c>
    </row>
    <row r="234" spans="1:12" x14ac:dyDescent="0.2">
      <c r="A234" s="1526" t="s">
        <v>207</v>
      </c>
      <c r="B234" s="615">
        <v>2130</v>
      </c>
      <c r="C234" s="617"/>
      <c r="D234" s="466">
        <v>28535</v>
      </c>
      <c r="E234" s="617"/>
      <c r="F234" s="617"/>
      <c r="G234" s="617"/>
      <c r="H234" s="617"/>
      <c r="I234" s="617"/>
      <c r="J234" s="617"/>
      <c r="K234" s="1693">
        <f t="shared" si="20"/>
        <v>28535</v>
      </c>
      <c r="L234" s="466">
        <v>20850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23635</v>
      </c>
      <c r="E237" s="617"/>
      <c r="F237" s="617"/>
      <c r="G237" s="617"/>
      <c r="H237" s="617"/>
      <c r="I237" s="617"/>
      <c r="J237" s="617"/>
      <c r="K237" s="1693">
        <f t="shared" si="20"/>
        <v>23635</v>
      </c>
      <c r="L237" s="466">
        <v>13500</v>
      </c>
    </row>
    <row r="238" spans="1:12" ht="12.75" customHeight="1" thickBot="1" x14ac:dyDescent="0.25">
      <c r="A238" s="1690" t="s">
        <v>580</v>
      </c>
      <c r="B238" s="1697" t="s">
        <v>739</v>
      </c>
      <c r="C238" s="617"/>
      <c r="D238" s="1692">
        <f>SUM(D232:D237)</f>
        <v>54448</v>
      </c>
      <c r="E238" s="617"/>
      <c r="F238" s="617"/>
      <c r="G238" s="617"/>
      <c r="H238" s="617"/>
      <c r="I238" s="617"/>
      <c r="J238" s="617"/>
      <c r="K238" s="1692">
        <f>SUM(K232:K237)</f>
        <v>54448</v>
      </c>
      <c r="L238" s="1692">
        <f>SUM(L232:L237)</f>
        <v>37050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c r="E240" s="617"/>
      <c r="F240" s="617"/>
      <c r="G240" s="617"/>
      <c r="H240" s="617"/>
      <c r="I240" s="617"/>
      <c r="J240" s="617"/>
      <c r="K240" s="1694">
        <f>D240</f>
        <v>0</v>
      </c>
      <c r="L240" s="481"/>
    </row>
    <row r="241" spans="1:12" x14ac:dyDescent="0.2">
      <c r="A241" s="1526" t="s">
        <v>868</v>
      </c>
      <c r="B241" s="615">
        <v>2220</v>
      </c>
      <c r="C241" s="617"/>
      <c r="D241" s="466">
        <v>9043</v>
      </c>
      <c r="E241" s="617"/>
      <c r="F241" s="617"/>
      <c r="G241" s="617"/>
      <c r="H241" s="617"/>
      <c r="I241" s="617"/>
      <c r="J241" s="617"/>
      <c r="K241" s="1694">
        <f>D241</f>
        <v>9043</v>
      </c>
      <c r="L241" s="466">
        <v>9170</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9043</v>
      </c>
      <c r="E243" s="617"/>
      <c r="F243" s="617"/>
      <c r="G243" s="617"/>
      <c r="H243" s="617"/>
      <c r="I243" s="617"/>
      <c r="J243" s="617"/>
      <c r="K243" s="1692">
        <f>SUM(K240:K242)</f>
        <v>9043</v>
      </c>
      <c r="L243" s="1692">
        <f>SUM(L240:L242)</f>
        <v>9170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543</v>
      </c>
      <c r="E245" s="617"/>
      <c r="F245" s="617"/>
      <c r="G245" s="617"/>
      <c r="H245" s="617"/>
      <c r="I245" s="617"/>
      <c r="J245" s="617"/>
      <c r="K245" s="1694">
        <f>D245</f>
        <v>543</v>
      </c>
      <c r="L245" s="481">
        <v>1600</v>
      </c>
    </row>
    <row r="246" spans="1:12" x14ac:dyDescent="0.2">
      <c r="A246" s="1526" t="s">
        <v>871</v>
      </c>
      <c r="B246" s="615">
        <v>2320</v>
      </c>
      <c r="C246" s="617"/>
      <c r="D246" s="466">
        <v>10857</v>
      </c>
      <c r="E246" s="617"/>
      <c r="F246" s="617"/>
      <c r="G246" s="617"/>
      <c r="H246" s="617"/>
      <c r="I246" s="617"/>
      <c r="J246" s="617"/>
      <c r="K246" s="1694">
        <f t="shared" ref="K246:K256" si="21">D246</f>
        <v>10857</v>
      </c>
      <c r="L246" s="466">
        <v>11050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11400</v>
      </c>
      <c r="E257" s="617"/>
      <c r="F257" s="617"/>
      <c r="G257" s="617"/>
      <c r="H257" s="617"/>
      <c r="I257" s="617"/>
      <c r="J257" s="617"/>
      <c r="K257" s="1692">
        <f>SUM(K245:K256)</f>
        <v>11400</v>
      </c>
      <c r="L257" s="1692">
        <f>SUM(L245:L256)</f>
        <v>12650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48331</v>
      </c>
      <c r="E259" s="617"/>
      <c r="F259" s="617"/>
      <c r="G259" s="617"/>
      <c r="H259" s="617"/>
      <c r="I259" s="617"/>
      <c r="J259" s="617"/>
      <c r="K259" s="1694">
        <f>D259</f>
        <v>48331</v>
      </c>
      <c r="L259" s="481">
        <v>52750</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48331</v>
      </c>
      <c r="E261" s="617"/>
      <c r="F261" s="617"/>
      <c r="G261" s="617"/>
      <c r="H261" s="617"/>
      <c r="I261" s="617"/>
      <c r="J261" s="617"/>
      <c r="K261" s="1692">
        <f>SUM(K259:K260)</f>
        <v>48331</v>
      </c>
      <c r="L261" s="1692">
        <f>SUM(L259:L260)</f>
        <v>52750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23149</v>
      </c>
      <c r="E264" s="617"/>
      <c r="F264" s="617"/>
      <c r="G264" s="617"/>
      <c r="H264" s="617"/>
      <c r="I264" s="617"/>
      <c r="J264" s="617"/>
      <c r="K264" s="1694">
        <f t="shared" ref="K264:K269" si="22">D264</f>
        <v>23149</v>
      </c>
      <c r="L264" s="466">
        <v>24400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70099</v>
      </c>
      <c r="E266" s="617"/>
      <c r="F266" s="617"/>
      <c r="G266" s="617"/>
      <c r="H266" s="617"/>
      <c r="I266" s="617"/>
      <c r="J266" s="617"/>
      <c r="K266" s="1694">
        <f t="shared" si="22"/>
        <v>70099</v>
      </c>
      <c r="L266" s="466">
        <v>60900</v>
      </c>
    </row>
    <row r="267" spans="1:14" x14ac:dyDescent="0.2">
      <c r="A267" s="1526" t="s">
        <v>1009</v>
      </c>
      <c r="B267" s="615">
        <v>2550</v>
      </c>
      <c r="C267" s="617"/>
      <c r="D267" s="466">
        <v>92651</v>
      </c>
      <c r="E267" s="617"/>
      <c r="F267" s="617"/>
      <c r="G267" s="617"/>
      <c r="H267" s="617"/>
      <c r="I267" s="617"/>
      <c r="J267" s="617"/>
      <c r="K267" s="1694">
        <f t="shared" si="22"/>
        <v>92651</v>
      </c>
      <c r="L267" s="466">
        <v>93400</v>
      </c>
    </row>
    <row r="268" spans="1:14" x14ac:dyDescent="0.2">
      <c r="A268" s="1526" t="s">
        <v>102</v>
      </c>
      <c r="B268" s="615">
        <v>2560</v>
      </c>
      <c r="C268" s="617"/>
      <c r="D268" s="466">
        <v>48073</v>
      </c>
      <c r="E268" s="617"/>
      <c r="F268" s="617"/>
      <c r="G268" s="617"/>
      <c r="H268" s="617"/>
      <c r="I268" s="617"/>
      <c r="J268" s="617"/>
      <c r="K268" s="1694">
        <f t="shared" si="22"/>
        <v>48073</v>
      </c>
      <c r="L268" s="466">
        <v>51700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233972</v>
      </c>
      <c r="E270" s="617"/>
      <c r="F270" s="617"/>
      <c r="G270" s="617"/>
      <c r="H270" s="617"/>
      <c r="I270" s="617"/>
      <c r="J270" s="617"/>
      <c r="K270" s="1692">
        <f>SUM(K263:K269)</f>
        <v>233972</v>
      </c>
      <c r="L270" s="1692">
        <f>SUM(L263:L269)</f>
        <v>230400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v>26803</v>
      </c>
      <c r="E276" s="617"/>
      <c r="F276" s="617"/>
      <c r="G276" s="617"/>
      <c r="H276" s="617"/>
      <c r="I276" s="617"/>
      <c r="J276" s="617"/>
      <c r="K276" s="1694">
        <f>D276</f>
        <v>26803</v>
      </c>
      <c r="L276" s="466">
        <v>29700</v>
      </c>
    </row>
    <row r="277" spans="1:12" ht="12.75" customHeight="1" thickBot="1" x14ac:dyDescent="0.25">
      <c r="A277" s="1713" t="s">
        <v>37</v>
      </c>
      <c r="B277" s="1691" t="s">
        <v>36</v>
      </c>
      <c r="C277" s="617"/>
      <c r="D277" s="1692">
        <f>SUM(D272:D276)</f>
        <v>26803</v>
      </c>
      <c r="E277" s="617"/>
      <c r="F277" s="617"/>
      <c r="G277" s="617"/>
      <c r="H277" s="617"/>
      <c r="I277" s="617"/>
      <c r="J277" s="617"/>
      <c r="K277" s="1692">
        <f>SUM(K272:K276)</f>
        <v>26803</v>
      </c>
      <c r="L277" s="1692">
        <f>SUM(L272:L276)</f>
        <v>29700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383997</v>
      </c>
      <c r="E279" s="617"/>
      <c r="F279" s="617"/>
      <c r="G279" s="617"/>
      <c r="H279" s="617"/>
      <c r="I279" s="617"/>
      <c r="J279" s="617"/>
      <c r="K279" s="1699">
        <f>SUM(K238,K243,K257,K261,K270,K277,K278)</f>
        <v>383997</v>
      </c>
      <c r="L279" s="1699">
        <f>SUM(L238,L243,L257,L261,L270,L277,L278)</f>
        <v>371720</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228" t="s">
        <v>525</v>
      </c>
      <c r="B295" s="2229"/>
      <c r="C295" s="617"/>
      <c r="D295" s="1692">
        <f>SUM(D229,D279,D280,D285)</f>
        <v>538196</v>
      </c>
      <c r="E295" s="617"/>
      <c r="F295" s="617"/>
      <c r="G295" s="617"/>
      <c r="H295" s="1692">
        <f>H293</f>
        <v>0</v>
      </c>
      <c r="I295" s="617"/>
      <c r="J295" s="617"/>
      <c r="K295" s="1692">
        <f>SUM(K229,K279,K280,K285,K293,K294)</f>
        <v>538196</v>
      </c>
      <c r="L295" s="1692">
        <f>SUM(L229,L279,L280,L285,L293,L294)</f>
        <v>542950</v>
      </c>
    </row>
    <row r="296" spans="1:14" ht="13.5" thickTop="1" x14ac:dyDescent="0.2">
      <c r="A296" s="2210" t="s">
        <v>1052</v>
      </c>
      <c r="B296" s="2211"/>
      <c r="C296" s="617"/>
      <c r="D296" s="619"/>
      <c r="E296" s="617"/>
      <c r="F296" s="617"/>
      <c r="G296" s="617"/>
      <c r="H296" s="688"/>
      <c r="I296" s="617"/>
      <c r="J296" s="617"/>
      <c r="K296" s="1706">
        <f>'Revenues 9-14'!G275-'Expenditures 15-22'!K295</f>
        <v>-123964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20" t="s">
        <v>145</v>
      </c>
      <c r="B298" s="2214"/>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93">
        <f>SUM(C301:J301)</f>
        <v>0</v>
      </c>
      <c r="L301" s="467"/>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225" t="s">
        <v>294</v>
      </c>
      <c r="B312" s="222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221" t="s">
        <v>1052</v>
      </c>
      <c r="B313" s="2222"/>
      <c r="C313" s="627"/>
      <c r="D313" s="627"/>
      <c r="E313" s="627"/>
      <c r="F313" s="627"/>
      <c r="G313" s="627"/>
      <c r="H313" s="627"/>
      <c r="I313" s="627"/>
      <c r="J313" s="627"/>
      <c r="K313" s="1707">
        <f>'Revenues 9-14'!H275-'Expenditures 15-22'!K312</f>
        <v>595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4" t="s">
        <v>151</v>
      </c>
      <c r="B315" s="223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6" t="s">
        <v>953</v>
      </c>
      <c r="B317" s="2235"/>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54262</v>
      </c>
      <c r="F320" s="467">
        <v>1670</v>
      </c>
      <c r="G320" s="467"/>
      <c r="H320" s="467"/>
      <c r="I320" s="467"/>
      <c r="J320" s="467"/>
      <c r="K320" s="1693">
        <f t="shared" ref="K320:K327" si="24">SUM(C320:J320)</f>
        <v>55932</v>
      </c>
      <c r="L320" s="467">
        <v>77000</v>
      </c>
      <c r="M320" s="666"/>
      <c r="N320" s="666"/>
    </row>
    <row r="321" spans="1:14" s="675" customFormat="1" x14ac:dyDescent="0.2">
      <c r="A321" s="1541" t="s">
        <v>317</v>
      </c>
      <c r="B321" s="698" t="s">
        <v>300</v>
      </c>
      <c r="C321" s="467"/>
      <c r="D321" s="467"/>
      <c r="E321" s="467">
        <v>16483</v>
      </c>
      <c r="F321" s="467"/>
      <c r="G321" s="467"/>
      <c r="H321" s="467"/>
      <c r="I321" s="467"/>
      <c r="J321" s="467"/>
      <c r="K321" s="1693">
        <f t="shared" si="24"/>
        <v>16483</v>
      </c>
      <c r="L321" s="467">
        <v>7500</v>
      </c>
      <c r="M321" s="666"/>
      <c r="N321" s="666"/>
    </row>
    <row r="322" spans="1:14" s="675" customFormat="1" x14ac:dyDescent="0.2">
      <c r="A322" s="1541" t="s">
        <v>256</v>
      </c>
      <c r="B322" s="698" t="s">
        <v>301</v>
      </c>
      <c r="C322" s="467"/>
      <c r="D322" s="467"/>
      <c r="E322" s="467">
        <v>34797</v>
      </c>
      <c r="F322" s="467"/>
      <c r="G322" s="467"/>
      <c r="H322" s="467"/>
      <c r="I322" s="467"/>
      <c r="J322" s="467"/>
      <c r="K322" s="1693">
        <f t="shared" si="24"/>
        <v>34797</v>
      </c>
      <c r="L322" s="467">
        <v>37119</v>
      </c>
      <c r="M322" s="666"/>
      <c r="N322" s="666"/>
    </row>
    <row r="323" spans="1:14" s="675" customFormat="1" x14ac:dyDescent="0.2">
      <c r="A323" s="1541" t="s">
        <v>725</v>
      </c>
      <c r="B323" s="698" t="s">
        <v>302</v>
      </c>
      <c r="C323" s="467"/>
      <c r="D323" s="467"/>
      <c r="E323" s="467">
        <v>1309</v>
      </c>
      <c r="F323" s="467"/>
      <c r="G323" s="467"/>
      <c r="H323" s="467"/>
      <c r="I323" s="467"/>
      <c r="J323" s="467"/>
      <c r="K323" s="1693">
        <f t="shared" si="24"/>
        <v>1309</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764757</v>
      </c>
      <c r="D325" s="467"/>
      <c r="E325" s="467">
        <v>3712</v>
      </c>
      <c r="F325" s="467"/>
      <c r="G325" s="467"/>
      <c r="H325" s="467"/>
      <c r="I325" s="467"/>
      <c r="J325" s="467"/>
      <c r="K325" s="1693">
        <f t="shared" si="24"/>
        <v>768469</v>
      </c>
      <c r="L325" s="467">
        <v>804213</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46872</v>
      </c>
      <c r="F327" s="467"/>
      <c r="G327" s="467"/>
      <c r="H327" s="467"/>
      <c r="I327" s="467"/>
      <c r="J327" s="467"/>
      <c r="K327" s="1693">
        <f t="shared" si="24"/>
        <v>46872</v>
      </c>
      <c r="L327" s="467">
        <v>32000</v>
      </c>
      <c r="M327" s="666"/>
      <c r="N327" s="666"/>
    </row>
    <row r="328" spans="1:14" s="675" customFormat="1" x14ac:dyDescent="0.2">
      <c r="A328" s="1542" t="s">
        <v>491</v>
      </c>
      <c r="B328" s="691" t="s">
        <v>1193</v>
      </c>
      <c r="C328" s="474"/>
      <c r="D328" s="474"/>
      <c r="E328" s="474">
        <v>19102</v>
      </c>
      <c r="F328" s="474"/>
      <c r="G328" s="474"/>
      <c r="H328" s="474"/>
      <c r="I328" s="474"/>
      <c r="J328" s="474"/>
      <c r="K328" s="1721">
        <f>SUM(C328:J328)</f>
        <v>19102</v>
      </c>
      <c r="L328" s="474">
        <v>18145</v>
      </c>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740</v>
      </c>
      <c r="B330" s="1691" t="s">
        <v>589</v>
      </c>
      <c r="C330" s="1692">
        <f>SUM(C319:C329)</f>
        <v>764757</v>
      </c>
      <c r="D330" s="1692">
        <f t="shared" ref="D330:J330" si="25">SUM(D319:D329)</f>
        <v>0</v>
      </c>
      <c r="E330" s="1692">
        <f t="shared" si="25"/>
        <v>176537</v>
      </c>
      <c r="F330" s="1692">
        <f t="shared" si="25"/>
        <v>1670</v>
      </c>
      <c r="G330" s="1692">
        <f t="shared" si="25"/>
        <v>0</v>
      </c>
      <c r="H330" s="1692">
        <f t="shared" si="25"/>
        <v>0</v>
      </c>
      <c r="I330" s="1692">
        <f t="shared" si="25"/>
        <v>0</v>
      </c>
      <c r="J330" s="1692">
        <f t="shared" si="25"/>
        <v>0</v>
      </c>
      <c r="K330" s="1692">
        <f>SUM(K319:K329)</f>
        <v>942964</v>
      </c>
      <c r="L330" s="1692">
        <f>SUM(L319:L329)</f>
        <v>975977</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764757</v>
      </c>
      <c r="D342" s="1692">
        <f>SUM(D330)</f>
        <v>0</v>
      </c>
      <c r="E342" s="1692">
        <f>SUM(E330)</f>
        <v>176537</v>
      </c>
      <c r="F342" s="1692">
        <f>SUM(F330)</f>
        <v>1670</v>
      </c>
      <c r="G342" s="1692">
        <f>SUM(G330)</f>
        <v>0</v>
      </c>
      <c r="H342" s="1692">
        <f>SUM(H330,H334,H340)</f>
        <v>0</v>
      </c>
      <c r="I342" s="1692">
        <f>SUM(I330)</f>
        <v>0</v>
      </c>
      <c r="J342" s="1692">
        <f>SUM(J330)</f>
        <v>0</v>
      </c>
      <c r="K342" s="1692">
        <f>SUM(K330,K334,K340)</f>
        <v>942964</v>
      </c>
      <c r="L342" s="1699">
        <f>SUM(L330,L340,L341)</f>
        <v>975977</v>
      </c>
    </row>
    <row r="343" spans="1:14" ht="12.75" customHeight="1" thickTop="1" x14ac:dyDescent="0.2">
      <c r="A343" s="2223" t="s">
        <v>1052</v>
      </c>
      <c r="B343" s="2224"/>
      <c r="C343" s="617"/>
      <c r="D343" s="617"/>
      <c r="E343" s="617"/>
      <c r="F343" s="617"/>
      <c r="G343" s="617"/>
      <c r="H343" s="617"/>
      <c r="I343" s="617"/>
      <c r="J343" s="617"/>
      <c r="K343" s="1706">
        <f>'Revenues 9-14'!J275-'Expenditures 15-22'!K342</f>
        <v>-205602</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3" t="s">
        <v>1022</v>
      </c>
      <c r="B345" s="2214"/>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600</v>
      </c>
      <c r="F349" s="466">
        <v>532</v>
      </c>
      <c r="G349" s="466"/>
      <c r="H349" s="466"/>
      <c r="I349" s="467"/>
      <c r="J349" s="467"/>
      <c r="K349" s="1693">
        <f>SUM(C349:J349)</f>
        <v>1132</v>
      </c>
      <c r="L349" s="466">
        <v>53850</v>
      </c>
    </row>
    <row r="350" spans="1:14" ht="12.75" customHeight="1" thickBot="1" x14ac:dyDescent="0.25">
      <c r="A350" s="1690" t="s">
        <v>742</v>
      </c>
      <c r="B350" s="1691" t="s">
        <v>35</v>
      </c>
      <c r="C350" s="1692">
        <f>SUM(C348:C349)</f>
        <v>0</v>
      </c>
      <c r="D350" s="1692">
        <f t="shared" ref="D350:L350" si="26">SUM(D348:D349)</f>
        <v>0</v>
      </c>
      <c r="E350" s="1692">
        <f t="shared" si="26"/>
        <v>600</v>
      </c>
      <c r="F350" s="1692">
        <f t="shared" si="26"/>
        <v>532</v>
      </c>
      <c r="G350" s="1692">
        <f t="shared" si="26"/>
        <v>0</v>
      </c>
      <c r="H350" s="1692">
        <f t="shared" si="26"/>
        <v>0</v>
      </c>
      <c r="I350" s="1692">
        <f t="shared" si="26"/>
        <v>0</v>
      </c>
      <c r="J350" s="1692">
        <f t="shared" si="26"/>
        <v>0</v>
      </c>
      <c r="K350" s="1692">
        <f t="shared" si="26"/>
        <v>1132</v>
      </c>
      <c r="L350" s="1692">
        <f t="shared" si="26"/>
        <v>53850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600</v>
      </c>
      <c r="F352" s="1692">
        <f t="shared" si="27"/>
        <v>532</v>
      </c>
      <c r="G352" s="1692">
        <f t="shared" si="27"/>
        <v>0</v>
      </c>
      <c r="H352" s="1692">
        <f t="shared" si="27"/>
        <v>0</v>
      </c>
      <c r="I352" s="1692">
        <f t="shared" si="27"/>
        <v>0</v>
      </c>
      <c r="J352" s="1692">
        <f t="shared" si="27"/>
        <v>0</v>
      </c>
      <c r="K352" s="1692">
        <f t="shared" si="27"/>
        <v>1132</v>
      </c>
      <c r="L352" s="1692">
        <f t="shared" si="27"/>
        <v>53850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600</v>
      </c>
      <c r="F367" s="1692">
        <f t="shared" si="28"/>
        <v>532</v>
      </c>
      <c r="G367" s="1692">
        <f t="shared" si="28"/>
        <v>0</v>
      </c>
      <c r="H367" s="1692">
        <f t="shared" si="28"/>
        <v>0</v>
      </c>
      <c r="I367" s="1692">
        <f t="shared" si="28"/>
        <v>0</v>
      </c>
      <c r="J367" s="1692">
        <f t="shared" si="28"/>
        <v>0</v>
      </c>
      <c r="K367" s="1692">
        <f t="shared" si="28"/>
        <v>1132</v>
      </c>
      <c r="L367" s="1692">
        <f t="shared" si="28"/>
        <v>53850</v>
      </c>
    </row>
    <row r="368" spans="1:14" ht="13.5" thickTop="1" x14ac:dyDescent="0.2">
      <c r="A368" s="2210" t="s">
        <v>1052</v>
      </c>
      <c r="B368" s="2211"/>
      <c r="C368" s="655"/>
      <c r="D368" s="655"/>
      <c r="E368" s="627"/>
      <c r="F368" s="627"/>
      <c r="G368" s="627"/>
      <c r="H368" s="627"/>
      <c r="I368" s="627"/>
      <c r="J368" s="624"/>
      <c r="K368" s="1693">
        <f>'Revenues 9-14'!K275-'Expenditures 15-22'!K367</f>
        <v>54390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http://purl.org/dc/elements/1.1/"/>
    <ds:schemaRef ds:uri="http://purl.org/dc/terms/"/>
    <ds:schemaRef ds:uri="d21dc803-237d-4c68-8692-8d731fd29118"/>
    <ds:schemaRef ds:uri="http://schemas.microsoft.com/office/2006/documentManagement/types"/>
    <ds:schemaRef ds:uri="6ce3111e-7420-4802-b50a-75d4e9a0b980"/>
    <ds:schemaRef ds:uri="http://schemas.openxmlformats.org/package/2006/metadata/core-properties"/>
    <ds:schemaRef ds:uri="http://schemas.microsoft.com/sharepoint/v3"/>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SF&amp;QC Sec-3 (2)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2018-10-10T19:28:07Z</cp:lastPrinted>
  <dcterms:created xsi:type="dcterms:W3CDTF">2003-10-29T19:06:34Z</dcterms:created>
  <dcterms:modified xsi:type="dcterms:W3CDTF">2018-10-17T20:29:44Z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West Carroll CUSD #314</vt:lpwstr>
  </property>
  <property fmtid="{D5CDD505-2E9C-101B-9397-08002B2CF9AE}" pid="6" name="PPC_Template_Engagement_Date">
    <vt:lpwstr>6/30/2018</vt:lpwstr>
  </property>
</Properties>
</file>